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D:\import\MUHAS &amp; MMRC\DRP ACTIVITIES\SIDA\2020-2021\2020-2021 Refined budget\"/>
    </mc:Choice>
  </mc:AlternateContent>
  <xr:revisionPtr revIDLastSave="0" documentId="13_ncr:1_{01DE543E-2B82-493F-B437-7B789C504487}" xr6:coauthVersionLast="45" xr6:coauthVersionMax="45" xr10:uidLastSave="{00000000-0000-0000-0000-000000000000}"/>
  <bookViews>
    <workbookView xWindow="16872" yWindow="1956" windowWidth="12276" windowHeight="9192" firstSheet="7" activeTab="7" xr2:uid="{EA935A33-9C00-4C15-ACCE-EA9EDEBB8959}"/>
  </bookViews>
  <sheets>
    <sheet name="1. Annual overall budget 1" sheetId="1" r:id="rId1"/>
    <sheet name="2. Annual overall budget 2" sheetId="2" r:id="rId2"/>
    <sheet name="RTS" sheetId="3" r:id="rId3"/>
    <sheet name="Bio-bank" sheetId="12" r:id="rId4"/>
    <sheet name="Data Center" sheetId="11" r:id="rId5"/>
    <sheet name="HSR" sheetId="4" r:id="rId6"/>
    <sheet name="ICT &amp; LIBRARY" sheetId="5" r:id="rId7"/>
    <sheet name="Malaria and NTD" sheetId="7" r:id="rId8"/>
    <sheet name="Malaria in COVID -19 " sheetId="6" r:id="rId9"/>
    <sheet name="RCH" sheetId="8" r:id="rId10"/>
    <sheet name="HIV" sheetId="9" r:id="rId11"/>
    <sheet name="INPACT.RTI" sheetId="10" r:id="rId12"/>
  </sheets>
  <externalReferences>
    <externalReference r:id="rId1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1" i="7" l="1"/>
  <c r="G54" i="2" l="1"/>
  <c r="E54" i="2"/>
  <c r="F54" i="2" s="1"/>
  <c r="F40" i="9"/>
  <c r="D40" i="9"/>
  <c r="B40" i="9"/>
  <c r="E45" i="8"/>
  <c r="C45" i="8"/>
  <c r="B45" i="8"/>
  <c r="E41" i="8"/>
  <c r="E40" i="8"/>
  <c r="D46" i="7"/>
  <c r="E46" i="7"/>
  <c r="C46" i="7"/>
  <c r="G36" i="4"/>
  <c r="F36" i="4"/>
  <c r="C36" i="4"/>
  <c r="F48" i="2"/>
  <c r="D43" i="1"/>
  <c r="C43" i="1"/>
  <c r="F35" i="12" l="1"/>
  <c r="D43" i="10" l="1"/>
  <c r="C43" i="10"/>
  <c r="H73" i="6"/>
  <c r="H70" i="6"/>
  <c r="G70" i="6"/>
  <c r="G69" i="6"/>
  <c r="H69" i="6" s="1"/>
  <c r="H68" i="6"/>
  <c r="G68" i="6"/>
  <c r="G67" i="6"/>
  <c r="H67" i="6" s="1"/>
  <c r="H66" i="6"/>
  <c r="G66" i="6"/>
  <c r="H65" i="6"/>
  <c r="H64" i="6"/>
  <c r="H63" i="6"/>
  <c r="G61" i="6"/>
  <c r="H61" i="6" s="1"/>
  <c r="G60" i="6"/>
  <c r="H60" i="6" s="1"/>
  <c r="G59" i="6"/>
  <c r="H59" i="6" s="1"/>
  <c r="G58" i="6"/>
  <c r="H58" i="6" s="1"/>
  <c r="H57" i="6"/>
  <c r="H56" i="6"/>
  <c r="G56" i="6"/>
  <c r="G55" i="6"/>
  <c r="G62" i="6" s="1"/>
  <c r="H62" i="6" s="1"/>
  <c r="H54" i="6"/>
  <c r="H53" i="6"/>
  <c r="G49" i="6"/>
  <c r="H49" i="6" s="1"/>
  <c r="H48" i="6"/>
  <c r="G48" i="6"/>
  <c r="G47" i="6"/>
  <c r="H47" i="6" s="1"/>
  <c r="H46" i="6"/>
  <c r="G46" i="6"/>
  <c r="G45" i="6"/>
  <c r="H45" i="6" s="1"/>
  <c r="H44" i="6"/>
  <c r="G44" i="6"/>
  <c r="G43" i="6"/>
  <c r="H43" i="6" s="1"/>
  <c r="H42" i="6"/>
  <c r="G42" i="6"/>
  <c r="G41" i="6"/>
  <c r="H41" i="6" s="1"/>
  <c r="H40" i="6"/>
  <c r="G40" i="6"/>
  <c r="G39" i="6"/>
  <c r="H39" i="6" s="1"/>
  <c r="H38" i="6"/>
  <c r="G38" i="6"/>
  <c r="G37" i="6"/>
  <c r="H37" i="6" s="1"/>
  <c r="H36" i="6"/>
  <c r="G36" i="6"/>
  <c r="G35" i="6"/>
  <c r="H35" i="6" s="1"/>
  <c r="H34" i="6"/>
  <c r="G34" i="6"/>
  <c r="G33" i="6"/>
  <c r="H33" i="6" s="1"/>
  <c r="H32" i="6"/>
  <c r="G32" i="6"/>
  <c r="G31" i="6"/>
  <c r="H31" i="6" s="1"/>
  <c r="H30" i="6"/>
  <c r="G30" i="6"/>
  <c r="G29" i="6"/>
  <c r="H29" i="6" s="1"/>
  <c r="H28" i="6"/>
  <c r="G28" i="6"/>
  <c r="G27" i="6"/>
  <c r="G50" i="6" s="1"/>
  <c r="H26" i="6"/>
  <c r="H25" i="6"/>
  <c r="H23" i="6"/>
  <c r="G23" i="6"/>
  <c r="G22" i="6"/>
  <c r="H22" i="6" s="1"/>
  <c r="H21" i="6"/>
  <c r="G21" i="6"/>
  <c r="G20" i="6"/>
  <c r="H20" i="6" s="1"/>
  <c r="H19" i="6"/>
  <c r="G19" i="6"/>
  <c r="G18" i="6"/>
  <c r="H18" i="6" s="1"/>
  <c r="H17" i="6"/>
  <c r="G17" i="6"/>
  <c r="G16" i="6"/>
  <c r="H16" i="6" s="1"/>
  <c r="H15" i="6"/>
  <c r="G15" i="6"/>
  <c r="G14" i="6"/>
  <c r="G24" i="6" s="1"/>
  <c r="H24" i="6" s="1"/>
  <c r="H13" i="6"/>
  <c r="G13" i="6"/>
  <c r="E42" i="2"/>
  <c r="E41" i="2"/>
  <c r="E37" i="2"/>
  <c r="E34" i="2"/>
  <c r="F35" i="3"/>
  <c r="C31" i="3"/>
  <c r="C32" i="3"/>
  <c r="G51" i="6" l="1"/>
  <c r="H51" i="6" s="1"/>
  <c r="H50" i="6"/>
  <c r="G71" i="6"/>
  <c r="H14" i="6"/>
  <c r="H27" i="6"/>
  <c r="H55" i="6"/>
  <c r="D26" i="3"/>
  <c r="G72" i="6" l="1"/>
  <c r="H72" i="6" s="1"/>
  <c r="G74" i="6"/>
  <c r="H74" i="6" s="1"/>
  <c r="H71" i="6"/>
  <c r="C39" i="3" l="1"/>
  <c r="C40" i="3" s="1"/>
  <c r="E35" i="3"/>
  <c r="B35" i="3"/>
  <c r="D34" i="3"/>
  <c r="D33" i="3"/>
  <c r="D32" i="3"/>
  <c r="D31" i="3"/>
  <c r="C30" i="3"/>
  <c r="G30" i="2"/>
  <c r="E18" i="2"/>
  <c r="E12" i="2"/>
  <c r="E21" i="2"/>
  <c r="E19" i="2"/>
  <c r="E17" i="2"/>
  <c r="E14" i="2"/>
  <c r="E13" i="2"/>
  <c r="E11" i="2"/>
  <c r="E10" i="2"/>
  <c r="E9" i="2"/>
  <c r="B30" i="2"/>
  <c r="E28" i="2"/>
  <c r="E16" i="2"/>
  <c r="E15" i="2"/>
  <c r="G43" i="1"/>
  <c r="E43" i="1"/>
  <c r="F43" i="1" s="1"/>
  <c r="G16" i="1"/>
  <c r="E16" i="1"/>
  <c r="F39" i="1"/>
  <c r="F38" i="1"/>
  <c r="F37" i="1"/>
  <c r="F36" i="1"/>
  <c r="F35" i="1"/>
  <c r="F34" i="1"/>
  <c r="F33" i="1"/>
  <c r="F32" i="1"/>
  <c r="F31" i="1"/>
  <c r="E27" i="1"/>
  <c r="F27" i="1"/>
  <c r="G27" i="1"/>
  <c r="F26" i="1"/>
  <c r="F25" i="1"/>
  <c r="F24" i="1"/>
  <c r="F23" i="1"/>
  <c r="F22" i="1"/>
  <c r="F21" i="1"/>
  <c r="F20" i="1"/>
  <c r="F15" i="1"/>
  <c r="F14" i="1"/>
  <c r="F13" i="1"/>
  <c r="F12" i="1"/>
  <c r="F11" i="1"/>
  <c r="F10" i="1"/>
  <c r="F9" i="1"/>
  <c r="F8" i="1"/>
  <c r="F7" i="1"/>
  <c r="F16" i="1" s="1"/>
  <c r="D30" i="3" l="1"/>
  <c r="D35" i="3" s="1"/>
  <c r="C35" i="3"/>
  <c r="B44" i="3"/>
  <c r="D39" i="3"/>
  <c r="E30" i="2"/>
  <c r="D40" i="3" l="1"/>
  <c r="D44" i="3" s="1"/>
  <c r="E39" i="3"/>
  <c r="F39" i="3" l="1"/>
  <c r="F40" i="3" s="1"/>
  <c r="E40" i="3"/>
  <c r="E44" i="3" s="1"/>
</calcChain>
</file>

<file path=xl/sharedStrings.xml><?xml version="1.0" encoding="utf-8"?>
<sst xmlns="http://schemas.openxmlformats.org/spreadsheetml/2006/main" count="923" uniqueCount="371">
  <si>
    <t xml:space="preserve">Tanzanian Institution/Dept: Muhimbili University of Health and Allied Sciences </t>
  </si>
  <si>
    <t>Collaborating Institution in Sweden: Uppsala University/Karoliska Institute, Ummea, Stockholm</t>
  </si>
  <si>
    <t>Exchange rate: 1 SEK=240 Tsh</t>
  </si>
  <si>
    <t>Tanzania</t>
  </si>
  <si>
    <t>2019/2020 balance Carried Forward</t>
  </si>
  <si>
    <t>Approved Budget 2020/2021</t>
  </si>
  <si>
    <t>Total Available  2020/2021</t>
  </si>
  <si>
    <t>Adjusted Budget for 2020/2021</t>
  </si>
  <si>
    <t>Program</t>
  </si>
  <si>
    <t>TZS</t>
  </si>
  <si>
    <t>SEK</t>
  </si>
  <si>
    <t xml:space="preserve">SEK </t>
  </si>
  <si>
    <t>RESEARCH TRAINING SUPPORT (RTS)</t>
  </si>
  <si>
    <t>MALARIA &amp; NTDs</t>
  </si>
  <si>
    <t>HEALTH SYSTEMS</t>
  </si>
  <si>
    <t>LIBRARY &amp; ICT</t>
  </si>
  <si>
    <t>NCD</t>
  </si>
  <si>
    <t>RH</t>
  </si>
  <si>
    <t xml:space="preserve">HIV </t>
  </si>
  <si>
    <t>Data Center</t>
  </si>
  <si>
    <t xml:space="preserve">Bio-banking </t>
  </si>
  <si>
    <t xml:space="preserve">SUB TOTAL </t>
  </si>
  <si>
    <t>Sweden</t>
  </si>
  <si>
    <t>Approved Budget</t>
  </si>
  <si>
    <t>Requested Budget  2020/2021</t>
  </si>
  <si>
    <t>ISP - student allowances</t>
  </si>
  <si>
    <t>RESEARCH TRAINING SUPPORT (RCS)</t>
  </si>
  <si>
    <t>SUB TOTAL</t>
  </si>
  <si>
    <t xml:space="preserve">GRAND TOTAL </t>
  </si>
  <si>
    <t>GRAND TOTAL</t>
  </si>
  <si>
    <t>Sweden   Programme / Department</t>
  </si>
  <si>
    <t>Column1</t>
  </si>
  <si>
    <t>Column2</t>
  </si>
  <si>
    <t>Column3</t>
  </si>
  <si>
    <t>Column4</t>
  </si>
  <si>
    <t>Date: May, 2020</t>
  </si>
  <si>
    <t>Overall Program:</t>
  </si>
  <si>
    <t>Period: July 2020 - June 2021</t>
  </si>
  <si>
    <t>Curriculum development</t>
  </si>
  <si>
    <t xml:space="preserve">Research equipment
</t>
  </si>
  <si>
    <t>Maintanance</t>
  </si>
  <si>
    <t>Research consumables</t>
  </si>
  <si>
    <t>Travel</t>
  </si>
  <si>
    <t>Field/Lab work</t>
  </si>
  <si>
    <t xml:space="preserve">Student fees </t>
  </si>
  <si>
    <t>Student stipends</t>
  </si>
  <si>
    <t>Conferences</t>
  </si>
  <si>
    <t xml:space="preserve">Publication costs </t>
  </si>
  <si>
    <t>Travel insurance</t>
  </si>
  <si>
    <t>Audit</t>
  </si>
  <si>
    <t>Other costs</t>
  </si>
  <si>
    <t>Research on COVID - 19</t>
  </si>
  <si>
    <t>Post Doc</t>
  </si>
  <si>
    <t>Bio-banking</t>
  </si>
  <si>
    <t>Policies and guidelines</t>
  </si>
  <si>
    <t>Research infastructure and Innovation</t>
  </si>
  <si>
    <t>Indirect costs</t>
  </si>
  <si>
    <t xml:space="preserve">Supervision </t>
  </si>
  <si>
    <t>Lecturing on courses</t>
  </si>
  <si>
    <t>Sw. Reseach Coordination</t>
  </si>
  <si>
    <t xml:space="preserve">Subtotal </t>
  </si>
  <si>
    <t>Grand Total</t>
  </si>
  <si>
    <t>Overall Program: RTS</t>
  </si>
  <si>
    <t>Period:  July 2019- June 2020</t>
  </si>
  <si>
    <t>Tanzanian Institution/Dept: MUHAS</t>
  </si>
  <si>
    <t>Collaborating Institution/s in Sweden:      KI +Uppssala</t>
  </si>
  <si>
    <t>Exchange rate: SEK=240 Tshs</t>
  </si>
  <si>
    <t xml:space="preserve">OBS! All major budget items should be the same for all. </t>
  </si>
  <si>
    <t>2018/19 balance Carried Forward</t>
  </si>
  <si>
    <t>Approved Budget 2019/2020</t>
  </si>
  <si>
    <t>Total Available  2019/2020</t>
  </si>
  <si>
    <t>Equipment Maintenance</t>
  </si>
  <si>
    <t>Field/Lab work (Training)</t>
  </si>
  <si>
    <t>Research infrastructure and innovation</t>
  </si>
  <si>
    <t>Difference (Total Available - Requested )</t>
  </si>
  <si>
    <t>Overall Budget per budget item</t>
  </si>
  <si>
    <t>Date May 2020</t>
  </si>
  <si>
    <t>Period: 2020/2021</t>
  </si>
  <si>
    <t>Tanzanian Institution/Dept: MUHAS, Department of Development Studies</t>
  </si>
  <si>
    <t xml:space="preserve">Collaborating Institution/s in Sweden: Umea University </t>
  </si>
  <si>
    <t>Exchange rate: 240 Tsh / 1 SEK</t>
  </si>
  <si>
    <t>July-Dec 2020</t>
  </si>
  <si>
    <t>Jan-June 2021</t>
  </si>
  <si>
    <t>Total</t>
  </si>
  <si>
    <t>Other costs (PhD Supervision allowance</t>
  </si>
  <si>
    <t>PhD courses</t>
  </si>
  <si>
    <t>Other costs (Audit)</t>
  </si>
  <si>
    <t>PhD training + post doc</t>
  </si>
  <si>
    <t>Date: April 2019</t>
  </si>
  <si>
    <t>Overall Program: Building a stronger MUHAS in supporting research and innovation</t>
  </si>
  <si>
    <t>Period: 2019-2020</t>
  </si>
  <si>
    <t>Tanzanian Institution/Dept: MUHAS Library and ICT Directorates</t>
  </si>
  <si>
    <t>Collaborating Institution/s in Sweden: DSV/SPIDER , Stockholm University</t>
  </si>
  <si>
    <t>2019/20 Balance Carried Forward</t>
  </si>
  <si>
    <t>Estimated Budget 2020/2021</t>
  </si>
  <si>
    <t>Conference (Professional Continuing Development)</t>
  </si>
  <si>
    <t>Sub-total</t>
  </si>
  <si>
    <t xml:space="preserve">Supervision-Salary costs </t>
  </si>
  <si>
    <t>Salaries incl. Expert fees</t>
  </si>
  <si>
    <t xml:space="preserve">Travel </t>
  </si>
  <si>
    <t xml:space="preserve">Consumables </t>
  </si>
  <si>
    <t xml:space="preserve">Audit costs </t>
  </si>
  <si>
    <t>Subsistence allowance for one  Sandwich PhD students in Sweden</t>
  </si>
  <si>
    <t xml:space="preserve">         MUHIMBILI UNIVERSITY OF HEALTH AND ALLIED SCIENCES</t>
  </si>
  <si>
    <t>Malaria case management in the context of COVID-19 in Tanzania</t>
  </si>
  <si>
    <t>NAME OF SUB-PROGRAM: Malaria and NTD</t>
  </si>
  <si>
    <t>FINANCIAL YEAR:2020 - 2021</t>
  </si>
  <si>
    <t>SUBPROGRAM VOTE CODE :</t>
  </si>
  <si>
    <t>S/N</t>
  </si>
  <si>
    <t>ITEM</t>
  </si>
  <si>
    <t>DESCRIPTION/SPECIFICATION</t>
  </si>
  <si>
    <t>UNIT</t>
  </si>
  <si>
    <t>QUANTITY</t>
  </si>
  <si>
    <t>ESTIMATED COST</t>
  </si>
  <si>
    <t>TOTAL COST</t>
  </si>
  <si>
    <t>A. STATIONARIES</t>
  </si>
  <si>
    <t>Photocopy papers</t>
  </si>
  <si>
    <t>A4, 80gm/m2 white</t>
  </si>
  <si>
    <t>Ream</t>
  </si>
  <si>
    <t>Envelops</t>
  </si>
  <si>
    <t>Small 9 x5 inch</t>
  </si>
  <si>
    <t>PC</t>
  </si>
  <si>
    <t>Box files</t>
  </si>
  <si>
    <t>Good quality</t>
  </si>
  <si>
    <t>Flat files</t>
  </si>
  <si>
    <t>For A4 paper</t>
  </si>
  <si>
    <t>Flip chart stand</t>
  </si>
  <si>
    <t>2.5 X2.5 METER Complete set</t>
  </si>
  <si>
    <t xml:space="preserve">Flip chart </t>
  </si>
  <si>
    <t>6 PACKS</t>
  </si>
  <si>
    <t xml:space="preserve">Cartridge </t>
  </si>
  <si>
    <t>Hp Color LaserJet 2550</t>
  </si>
  <si>
    <t>Waste bin</t>
  </si>
  <si>
    <t>40L size</t>
  </si>
  <si>
    <t>stapler</t>
  </si>
  <si>
    <t>Heavy duty</t>
  </si>
  <si>
    <t xml:space="preserve">Log Books </t>
  </si>
  <si>
    <t>with fuel and services pages</t>
  </si>
  <si>
    <t>Waste bags</t>
  </si>
  <si>
    <t>PC100</t>
  </si>
  <si>
    <t xml:space="preserve">Sub-total </t>
  </si>
  <si>
    <t>B: CHEMICALS and CONSUMABLES</t>
  </si>
  <si>
    <t>Giemsa stain</t>
  </si>
  <si>
    <t>litre</t>
  </si>
  <si>
    <t>Immersion oil</t>
  </si>
  <si>
    <t>tubes</t>
  </si>
  <si>
    <t>Methanol</t>
  </si>
  <si>
    <t>Blood slides</t>
  </si>
  <si>
    <t>p/72</t>
  </si>
  <si>
    <t>packs</t>
  </si>
  <si>
    <t>Filter papers</t>
  </si>
  <si>
    <t>pcs</t>
  </si>
  <si>
    <t>Slide boxes</t>
  </si>
  <si>
    <t>Plastic bags</t>
  </si>
  <si>
    <t>p/100</t>
  </si>
  <si>
    <t>Descicants</t>
  </si>
  <si>
    <t>Blood lancet</t>
  </si>
  <si>
    <t>Cotton wool</t>
  </si>
  <si>
    <t>Pcs</t>
  </si>
  <si>
    <t>Cotton gauze</t>
  </si>
  <si>
    <t>Serology test COVID-19</t>
  </si>
  <si>
    <t>p/50</t>
  </si>
  <si>
    <t>Syringes</t>
  </si>
  <si>
    <t>p/1000</t>
  </si>
  <si>
    <t>Gloves</t>
  </si>
  <si>
    <t>Stopwatch</t>
  </si>
  <si>
    <t>Infrared  thermometre</t>
  </si>
  <si>
    <t>PPE</t>
  </si>
  <si>
    <t>mRDT Malaria</t>
  </si>
  <si>
    <t>P falciparum antigen coated</t>
  </si>
  <si>
    <t>500/pack</t>
  </si>
  <si>
    <t>Nasal pharengeal Swabs</t>
  </si>
  <si>
    <t>for COVID-19 Samples</t>
  </si>
  <si>
    <t>100/pack</t>
  </si>
  <si>
    <t>Vacutainer tubes Purple top</t>
  </si>
  <si>
    <t>4 ml,  (BD)</t>
  </si>
  <si>
    <t>Vacutainer tubes red top</t>
  </si>
  <si>
    <t>5 ml, (BD)</t>
  </si>
  <si>
    <t>Vacutainer tubes green top</t>
  </si>
  <si>
    <t>10 ml,  (BD)</t>
  </si>
  <si>
    <t>Vacutainer needles</t>
  </si>
  <si>
    <t>21Gx 1” (0.8 x 25 mm), Becton Dickinson (BD)</t>
  </si>
  <si>
    <t>SUBTOTAL CONSUMABLES</t>
  </si>
  <si>
    <t>C: MANAGEMENT AND MAINTANANCE</t>
  </si>
  <si>
    <t>Per diem for Researchers</t>
  </si>
  <si>
    <t>2 STUDENTS</t>
  </si>
  <si>
    <t>90 Days each</t>
  </si>
  <si>
    <t>Per diem for the supervisor</t>
  </si>
  <si>
    <t>3 Persons</t>
  </si>
  <si>
    <t>20 Days each</t>
  </si>
  <si>
    <t>Research Asistants</t>
  </si>
  <si>
    <t>Driver</t>
  </si>
  <si>
    <t>Days</t>
  </si>
  <si>
    <t>2 Nurses</t>
  </si>
  <si>
    <t>Months</t>
  </si>
  <si>
    <t xml:space="preserve">2 Clinical officers </t>
  </si>
  <si>
    <t>months</t>
  </si>
  <si>
    <t>2 Technicians</t>
  </si>
  <si>
    <t>Subtotal</t>
  </si>
  <si>
    <t>OTHER ACTIVITIES</t>
  </si>
  <si>
    <t xml:space="preserve">Communication Airtime </t>
  </si>
  <si>
    <t xml:space="preserve">2 persons </t>
  </si>
  <si>
    <t>days</t>
  </si>
  <si>
    <t>Compensation for stay</t>
  </si>
  <si>
    <t>120 patients</t>
  </si>
  <si>
    <t>days @2 days</t>
  </si>
  <si>
    <t>Transport per visit</t>
  </si>
  <si>
    <t>Maximam 240 participants</t>
  </si>
  <si>
    <t>Average</t>
  </si>
  <si>
    <t>Training</t>
  </si>
  <si>
    <t>Per diem 6 people (trainees)</t>
  </si>
  <si>
    <t>2 days</t>
  </si>
  <si>
    <t>Fuel</t>
  </si>
  <si>
    <t>liters</t>
  </si>
  <si>
    <t>Sub- Total</t>
  </si>
  <si>
    <t>SUBTOTAL FIELD</t>
  </si>
  <si>
    <t>TOTAL</t>
  </si>
  <si>
    <t>CHECKED BY :</t>
  </si>
  <si>
    <t>PI/ SUB PROGRAM CO ORDINATOR</t>
  </si>
  <si>
    <t>Date</t>
  </si>
  <si>
    <t>Sub Program: Malaria and Neglected Tropical Diseases</t>
  </si>
  <si>
    <t xml:space="preserve">Period: </t>
  </si>
  <si>
    <t>July 2020-June 2021</t>
  </si>
  <si>
    <t>Tanzanian Institution/Dept: Muhimbili University of Health and Allied Sciences</t>
  </si>
  <si>
    <t>Collaborating Institution/s in Sweden: Karolinska Institutet</t>
  </si>
  <si>
    <t>Exchange rate: SEK=230 Tshs 1 USD =8 SEK-2200 TZS</t>
  </si>
  <si>
    <t>Curriculum</t>
  </si>
  <si>
    <t>Research on COVID 19</t>
  </si>
  <si>
    <t xml:space="preserve">Post Doc researches </t>
  </si>
  <si>
    <t>Equipment</t>
  </si>
  <si>
    <t>Consumables</t>
  </si>
  <si>
    <t>Field/Lab works</t>
  </si>
  <si>
    <t>Student Fees</t>
  </si>
  <si>
    <t>Stipend</t>
  </si>
  <si>
    <t>Other Costs</t>
  </si>
  <si>
    <t>Publication costs</t>
  </si>
  <si>
    <t>Travel Insurance</t>
  </si>
  <si>
    <t>Overheads</t>
  </si>
  <si>
    <t>University/Dept.</t>
  </si>
  <si>
    <t>KI supervision (Salary)</t>
  </si>
  <si>
    <t>Thesis costx2 students</t>
  </si>
  <si>
    <t>Overhead (35% Salary)</t>
  </si>
  <si>
    <t>KI Publication  costs</t>
  </si>
  <si>
    <t>Audit KI</t>
  </si>
  <si>
    <t>Lab Cost</t>
  </si>
  <si>
    <t>UPPSALLA</t>
  </si>
  <si>
    <t>Overhead (35% Salary) Uppsala</t>
  </si>
  <si>
    <t>Audit UPPSALA</t>
  </si>
  <si>
    <t>ISP - student allowances 2 students @9 months</t>
  </si>
  <si>
    <t>Column5</t>
  </si>
  <si>
    <t>Budget Summary, 2020-2021</t>
  </si>
  <si>
    <t>Budget,July 2020-December 2020</t>
  </si>
  <si>
    <t>Budget, January 2021-June 2021</t>
  </si>
  <si>
    <t>Total SEK</t>
  </si>
  <si>
    <t>Total TSH</t>
  </si>
  <si>
    <t>TSH</t>
  </si>
  <si>
    <t>Research equipment</t>
  </si>
  <si>
    <t>Equipment Maintanance</t>
  </si>
  <si>
    <t>Other costs(Next proposal development)</t>
  </si>
  <si>
    <t>SWEDEN</t>
  </si>
  <si>
    <t>Uppsala University</t>
  </si>
  <si>
    <t>Karoliska Institute</t>
  </si>
  <si>
    <t>ISP</t>
  </si>
  <si>
    <t>Sub total</t>
  </si>
  <si>
    <t>Annual HIV subprogram budget with subcomponents</t>
  </si>
  <si>
    <t>Date: 26/05/2020</t>
  </si>
  <si>
    <t>Sub Program: HIV</t>
  </si>
  <si>
    <t>Period: 1st July 2020 to 30th June 2021</t>
  </si>
  <si>
    <t>Collaborating Institution/s in Sweden: KI</t>
  </si>
  <si>
    <t>July - Dec 2020</t>
  </si>
  <si>
    <t>Jan - June 2021</t>
  </si>
  <si>
    <t>-</t>
  </si>
  <si>
    <t>Maintenance</t>
  </si>
  <si>
    <t>Research Consumables</t>
  </si>
  <si>
    <t>Student allowances/ISP</t>
  </si>
  <si>
    <t xml:space="preserve">Student stipends </t>
  </si>
  <si>
    <t>Total Direct Cost</t>
  </si>
  <si>
    <t>Supervision</t>
  </si>
  <si>
    <t>2020/2021</t>
  </si>
  <si>
    <t>Column6</t>
  </si>
  <si>
    <t>Column7</t>
  </si>
  <si>
    <t>Date: 28 May 2020</t>
  </si>
  <si>
    <t>Sub Program: Injuries Prevention and Care (INPACT: RTI)</t>
  </si>
  <si>
    <t>Period: 1 July 2020 - 30 June 2021</t>
  </si>
  <si>
    <t xml:space="preserve">Tanzanian Institution/Dept: </t>
  </si>
  <si>
    <t>MUHAS. School of Medicine, Department of Physiology</t>
  </si>
  <si>
    <t>Collaborating Institution/s in Sweden:</t>
  </si>
  <si>
    <t xml:space="preserve">TZS. </t>
  </si>
  <si>
    <t>Research Maintenance</t>
  </si>
  <si>
    <t>Exchange rate: 240</t>
  </si>
  <si>
    <t>Supervision   Salary</t>
  </si>
  <si>
    <t xml:space="preserve">                      Travel</t>
  </si>
  <si>
    <t xml:space="preserve">                      Student costs</t>
  </si>
  <si>
    <t>Curr dev</t>
  </si>
  <si>
    <t>Lecturing (salary and travel)</t>
  </si>
  <si>
    <t xml:space="preserve">    Other</t>
  </si>
  <si>
    <t xml:space="preserve">    Audit</t>
  </si>
  <si>
    <t>SUB TOTAL (SWEDEN)</t>
  </si>
  <si>
    <t>Innovation - Data Center</t>
  </si>
  <si>
    <t>ITEM NAME</t>
  </si>
  <si>
    <t>UNIT OF MEASURE</t>
  </si>
  <si>
    <t>QTY</t>
  </si>
  <si>
    <t>UNIT PRICE (TZS)</t>
  </si>
  <si>
    <t>TOTAL (TZS)</t>
  </si>
  <si>
    <t>Data servers: Dell EMC PowerEdge R740 Server</t>
  </si>
  <si>
    <t>Network Security Firewall: PfSense XG-1541 1U HA Firewall Appliance</t>
  </si>
  <si>
    <t>Windows Server 2016 Standard Edition License</t>
  </si>
  <si>
    <t>System Management Software (SolarWinds: IT Management Software &amp; Monitoring Tools)</t>
  </si>
  <si>
    <t>Network Switches (GB Switches) - Cisco Catalyst 2960L-24PS-LL Switch</t>
  </si>
  <si>
    <t>LAN Cables – UTP Cat 6</t>
  </si>
  <si>
    <t>Network Trunking and accessories</t>
  </si>
  <si>
    <t>Centralized Antivirus (Internet Security)</t>
  </si>
  <si>
    <t>VMware vCenter and vSphere licensing</t>
  </si>
  <si>
    <t>Renovation of Network Control Center</t>
  </si>
  <si>
    <t>various</t>
  </si>
  <si>
    <t xml:space="preserve">UPS 6KVA online double conversion </t>
  </si>
  <si>
    <t xml:space="preserve">Door Access Control </t>
  </si>
  <si>
    <t>Cabinet 42U with complete accessories for servers</t>
  </si>
  <si>
    <t>Customization and deployment of Research data repositories e.g. DSpace and REDCap</t>
  </si>
  <si>
    <t>Training of users</t>
  </si>
  <si>
    <t>sessions</t>
  </si>
  <si>
    <t>Supply and installation of enterprise level wireless access points</t>
  </si>
  <si>
    <t xml:space="preserve">Adjusted </t>
  </si>
  <si>
    <t>Innovation - Bio-banking</t>
  </si>
  <si>
    <t>SN</t>
  </si>
  <si>
    <t>Capacity</t>
  </si>
  <si>
    <t>Number</t>
  </si>
  <si>
    <t>Needed (SEK)</t>
  </si>
  <si>
    <t>Estimated cost  (TZS)</t>
  </si>
  <si>
    <t>Refrigerators</t>
  </si>
  <si>
    <t>2-8°C</t>
  </si>
  <si>
    <t>Freezers</t>
  </si>
  <si>
    <t>-80°C</t>
  </si>
  <si>
    <t>-30°C</t>
  </si>
  <si>
    <t>-20°C</t>
  </si>
  <si>
    <t>Backup generator</t>
  </si>
  <si>
    <t>110 KV</t>
  </si>
  <si>
    <t>Air conditioners</t>
  </si>
  <si>
    <t>BTU</t>
  </si>
  <si>
    <t>Liquid Nitrogen tanks</t>
  </si>
  <si>
    <t>4 (Size)</t>
  </si>
  <si>
    <t>Automatic temperature monitor</t>
  </si>
  <si>
    <t xml:space="preserve">1 for each unit storage, </t>
  </si>
  <si>
    <t>1 central</t>
  </si>
  <si>
    <t>Computer</t>
  </si>
  <si>
    <t>Desktop</t>
  </si>
  <si>
    <t>Software</t>
  </si>
  <si>
    <t>Bio-bank software</t>
  </si>
  <si>
    <t>Antivirus</t>
  </si>
  <si>
    <t>Microsoft office</t>
  </si>
  <si>
    <t>Security access</t>
  </si>
  <si>
    <t>Security door</t>
  </si>
  <si>
    <t>Key card system</t>
  </si>
  <si>
    <t>Locked cabinet</t>
  </si>
  <si>
    <t>Furniture</t>
  </si>
  <si>
    <t>Working bench</t>
  </si>
  <si>
    <t>Office table</t>
  </si>
  <si>
    <t>Lab stools</t>
  </si>
  <si>
    <t>Office chairs</t>
  </si>
  <si>
    <t>Centrifuge table</t>
  </si>
  <si>
    <t>Centrifuges</t>
  </si>
  <si>
    <t>Large</t>
  </si>
  <si>
    <t>Mini centrifuge</t>
  </si>
  <si>
    <t>Transportation package</t>
  </si>
  <si>
    <t>Various sizes</t>
  </si>
  <si>
    <t>Ice block maker</t>
  </si>
  <si>
    <t>Machine</t>
  </si>
  <si>
    <t>Adjusted</t>
  </si>
  <si>
    <t>The overall amount to be carried forward is  Total Available - Total Adjusted =  461,379 SEK</t>
  </si>
  <si>
    <t xml:space="preserve">The approved budget is the amount yearly allocated by SIDA to each subprogram and the requested budget refers to the amount each subprogam is expected to spend for the given year.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</si>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</sst>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3" formatCode="_-* #,##0.00_-;\-* #,##0.00_-;_-* &quot;-&quot;??_-;_-@_-"/>
    <numFmt numFmtId="164" formatCode="_(* #,##0.00_);_(* \(#,##0.00\);_(* &quot;-&quot;??_);_(@_)"/>
    <numFmt numFmtId="165" formatCode="_(* #,##0_);_(* \(#,##0\);_(* &quot;-&quot;??_);_(@_)"/>
    <numFmt numFmtId="166" formatCode="_(* #,##0_);_(* \(#,##0\);_(*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2"/>
      <name val="Times New Roman"/>
      <family val="1"/>
    </font>
    <font>
      <b/>
      <sz val="12"/>
      <color theme="1"/>
      <name val="Times New Roman"/>
      <family val="1"/>
    </font>
    <font>
      <sz val="12"/>
      <name val="Times New Roman"/>
      <family val="1"/>
    </font>
    <font>
      <sz val="12"/>
      <color theme="1"/>
      <name val="Times New Roman"/>
      <family val="1"/>
    </font>
    <font>
      <sz val="11"/>
      <color theme="1"/>
      <name val="Times New Roman"/>
      <family val="1"/>
    </font>
    <font>
      <b/>
      <sz val="11"/>
      <color theme="1"/>
      <name val="Times New Roman"/>
      <family val="1"/>
    </font>
    <font>
      <b/>
      <i/>
      <sz val="11"/>
      <color theme="1"/>
      <name val="Times New Roman"/>
      <family val="1"/>
    </font>
    <font>
      <b/>
      <i/>
      <sz val="11"/>
      <color theme="1"/>
      <name val="Calibri"/>
      <family val="2"/>
      <scheme val="minor"/>
    </font>
    <font>
      <sz val="12"/>
      <color theme="1"/>
      <name val="Calibri"/>
      <family val="2"/>
      <scheme val="minor"/>
    </font>
    <font>
      <b/>
      <sz val="11"/>
      <name val="Times New Roman"/>
      <family val="1"/>
    </font>
    <font>
      <sz val="11"/>
      <name val="Times New Roman"/>
      <family val="1"/>
    </font>
    <font>
      <b/>
      <sz val="10"/>
      <name val="Arial"/>
      <family val="2"/>
    </font>
    <font>
      <sz val="10"/>
      <name val="Arial"/>
      <family val="2"/>
    </font>
    <font>
      <b/>
      <sz val="10"/>
      <name val="Times New Roman"/>
      <family val="1"/>
    </font>
    <font>
      <sz val="10"/>
      <name val="Times New Roman"/>
      <family val="1"/>
    </font>
    <font>
      <b/>
      <sz val="14"/>
      <name val="Times New Roman"/>
      <family val="1"/>
    </font>
    <font>
      <sz val="10"/>
      <color theme="1"/>
      <name val="Times New Roman"/>
      <family val="1"/>
    </font>
    <font>
      <b/>
      <sz val="10"/>
      <color theme="1"/>
      <name val="Times New Roman"/>
      <family val="1"/>
    </font>
    <font>
      <b/>
      <sz val="20"/>
      <color theme="1"/>
      <name val="Times New Roman"/>
      <family val="1"/>
    </font>
    <font>
      <b/>
      <sz val="14"/>
      <color theme="1"/>
      <name val="Times New Roman"/>
      <family val="1"/>
    </font>
    <font>
      <sz val="14"/>
      <color theme="1"/>
      <name val="Calibri"/>
      <family val="2"/>
      <scheme val="minor"/>
    </font>
    <font>
      <b/>
      <sz val="14"/>
      <color theme="1"/>
      <name val="Calibri"/>
      <family val="2"/>
      <scheme val="minor"/>
    </font>
    <font>
      <sz val="8"/>
      <name val="Calibri"/>
      <family val="2"/>
      <scheme val="minor"/>
    </font>
  </fonts>
  <fills count="15">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theme="0" tint="-0.14999847407452621"/>
      </patternFill>
    </fill>
    <fill>
      <patternFill patternType="solid">
        <fgColor theme="0" tint="-0.34998626667073579"/>
        <bgColor theme="0" tint="-0.34998626667073579"/>
      </patternFill>
    </fill>
    <fill>
      <patternFill patternType="solid">
        <fgColor rgb="FFFFFF00"/>
        <bgColor indexed="64"/>
      </patternFill>
    </fill>
    <fill>
      <patternFill patternType="solid">
        <fgColor rgb="FF00B0F0"/>
        <bgColor indexed="64"/>
      </patternFill>
    </fill>
    <fill>
      <patternFill patternType="solid">
        <fgColor rgb="FFFFC000"/>
        <bgColor indexed="64"/>
      </patternFill>
    </fill>
    <fill>
      <patternFill patternType="solid">
        <fgColor theme="2"/>
        <bgColor indexed="64"/>
      </patternFill>
    </fill>
    <fill>
      <patternFill patternType="solid">
        <fgColor theme="4" tint="0.79998168889431442"/>
        <bgColor theme="4" tint="0.79998168889431442"/>
      </patternFill>
    </fill>
    <fill>
      <patternFill patternType="solid">
        <fgColor theme="0" tint="-4.9989318521683403E-2"/>
        <bgColor indexed="64"/>
      </patternFill>
    </fill>
  </fills>
  <borders count="32">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right style="thin">
        <color indexed="64"/>
      </right>
      <top/>
      <bottom/>
      <diagonal/>
    </border>
    <border>
      <left/>
      <right/>
      <top style="medium">
        <color indexed="64"/>
      </top>
      <bottom/>
      <diagonal/>
    </border>
    <border>
      <left/>
      <right/>
      <top style="thin">
        <color theme="1"/>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theme="1"/>
      </left>
      <right/>
      <top style="thin">
        <color theme="1"/>
      </top>
      <bottom style="thin">
        <color theme="1"/>
      </bottom>
      <diagonal/>
    </border>
    <border>
      <left style="thin">
        <color theme="1"/>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theme="1"/>
      </top>
      <bottom style="medium">
        <color indexed="64"/>
      </bottom>
      <diagonal/>
    </border>
    <border>
      <left style="medium">
        <color indexed="64"/>
      </left>
      <right/>
      <top style="thin">
        <color theme="1"/>
      </top>
      <bottom style="thin">
        <color theme="1"/>
      </bottom>
      <diagonal/>
    </border>
  </borders>
  <cellStyleXfs count="4">
    <xf numFmtId="0" fontId="0" fillId="0" borderId="0"/>
    <xf numFmtId="43" fontId="1" fillId="0" borderId="0" applyFont="0" applyFill="0" applyBorder="0" applyAlignment="0" applyProtection="0"/>
    <xf numFmtId="41" fontId="1" fillId="0" borderId="0" applyFont="0" applyFill="0" applyBorder="0" applyAlignment="0" applyProtection="0"/>
    <xf numFmtId="0" fontId="15" fillId="0" borderId="0"/>
  </cellStyleXfs>
  <cellXfs count="275">
    <xf numFmtId="0" fontId="0" fillId="0" borderId="0" xfId="0"/>
    <xf numFmtId="0" fontId="4" fillId="4" borderId="4" xfId="0" applyFont="1" applyFill="1" applyBorder="1" applyAlignment="1">
      <alignment horizontal="center" vertical="center" wrapText="1"/>
    </xf>
    <xf numFmtId="165" fontId="4" fillId="2" borderId="4" xfId="1" applyNumberFormat="1" applyFont="1" applyFill="1" applyBorder="1" applyAlignment="1">
      <alignment horizontal="center"/>
    </xf>
    <xf numFmtId="0" fontId="3" fillId="2" borderId="4" xfId="0" applyFont="1" applyFill="1" applyBorder="1"/>
    <xf numFmtId="4" fontId="3" fillId="2" borderId="0" xfId="0" applyNumberFormat="1" applyFont="1" applyFill="1" applyAlignment="1">
      <alignment horizontal="left"/>
    </xf>
    <xf numFmtId="4" fontId="0" fillId="0" borderId="0" xfId="0" applyNumberFormat="1"/>
    <xf numFmtId="4" fontId="3" fillId="2" borderId="1" xfId="0" applyNumberFormat="1" applyFont="1" applyFill="1" applyBorder="1" applyAlignment="1">
      <alignment horizontal="center"/>
    </xf>
    <xf numFmtId="4" fontId="3" fillId="2" borderId="2" xfId="0" applyNumberFormat="1" applyFont="1" applyFill="1" applyBorder="1" applyAlignment="1">
      <alignment horizontal="center"/>
    </xf>
    <xf numFmtId="4" fontId="3" fillId="3" borderId="4" xfId="0" applyNumberFormat="1" applyFont="1" applyFill="1" applyBorder="1" applyAlignment="1">
      <alignment horizontal="left"/>
    </xf>
    <xf numFmtId="4" fontId="4" fillId="4" borderId="4" xfId="0" applyNumberFormat="1" applyFont="1" applyFill="1" applyBorder="1" applyAlignment="1">
      <alignment horizontal="center" vertical="center" wrapText="1"/>
    </xf>
    <xf numFmtId="4" fontId="3" fillId="2" borderId="4" xfId="0" applyNumberFormat="1" applyFont="1" applyFill="1" applyBorder="1" applyAlignment="1">
      <alignment horizontal="left"/>
    </xf>
    <xf numFmtId="4" fontId="4" fillId="2" borderId="4" xfId="1" applyNumberFormat="1" applyFont="1" applyFill="1" applyBorder="1" applyAlignment="1">
      <alignment horizontal="center"/>
    </xf>
    <xf numFmtId="4" fontId="3" fillId="2" borderId="4" xfId="0" applyNumberFormat="1" applyFont="1" applyFill="1" applyBorder="1" applyAlignment="1">
      <alignment horizontal="left" wrapText="1"/>
    </xf>
    <xf numFmtId="4" fontId="5" fillId="0" borderId="4" xfId="1" applyNumberFormat="1" applyFont="1" applyBorder="1" applyAlignment="1">
      <alignment shrinkToFit="1"/>
    </xf>
    <xf numFmtId="4" fontId="3" fillId="3" borderId="4" xfId="0" applyNumberFormat="1" applyFont="1" applyFill="1" applyBorder="1" applyAlignment="1">
      <alignment horizontal="left" shrinkToFit="1"/>
    </xf>
    <xf numFmtId="4" fontId="6" fillId="0" borderId="0" xfId="0" applyNumberFormat="1" applyFont="1"/>
    <xf numFmtId="4" fontId="3" fillId="3" borderId="4" xfId="0" applyNumberFormat="1" applyFont="1" applyFill="1" applyBorder="1" applyAlignment="1">
      <alignment wrapText="1"/>
    </xf>
    <xf numFmtId="4" fontId="5" fillId="0" borderId="4" xfId="1" applyNumberFormat="1" applyFont="1" applyBorder="1"/>
    <xf numFmtId="4" fontId="3" fillId="3" borderId="4" xfId="0" applyNumberFormat="1" applyFont="1" applyFill="1" applyBorder="1" applyAlignment="1">
      <alignment horizontal="left" wrapText="1"/>
    </xf>
    <xf numFmtId="4" fontId="3" fillId="0" borderId="5" xfId="0" applyNumberFormat="1" applyFont="1" applyBorder="1"/>
    <xf numFmtId="4" fontId="5" fillId="0" borderId="11" xfId="1" applyNumberFormat="1" applyFont="1" applyFill="1" applyBorder="1"/>
    <xf numFmtId="4" fontId="3" fillId="2" borderId="4" xfId="0" applyNumberFormat="1" applyFont="1" applyFill="1" applyBorder="1"/>
    <xf numFmtId="4" fontId="3" fillId="2" borderId="9" xfId="0" applyNumberFormat="1" applyFont="1" applyFill="1" applyBorder="1" applyAlignment="1">
      <alignment vertical="center"/>
    </xf>
    <xf numFmtId="4" fontId="3" fillId="6" borderId="4" xfId="0" applyNumberFormat="1" applyFont="1" applyFill="1" applyBorder="1" applyAlignment="1">
      <alignment horizontal="center" vertical="center"/>
    </xf>
    <xf numFmtId="4" fontId="5" fillId="6" borderId="4" xfId="0" applyNumberFormat="1" applyFont="1" applyFill="1" applyBorder="1" applyAlignment="1">
      <alignment horizontal="center" vertical="center"/>
    </xf>
    <xf numFmtId="4" fontId="5" fillId="0" borderId="4" xfId="0" applyNumberFormat="1" applyFont="1" applyBorder="1" applyAlignment="1">
      <alignment horizontal="center" vertical="center"/>
    </xf>
    <xf numFmtId="4" fontId="3" fillId="2" borderId="8" xfId="0" applyNumberFormat="1" applyFont="1" applyFill="1" applyBorder="1" applyAlignment="1">
      <alignment horizontal="center" vertical="center"/>
    </xf>
    <xf numFmtId="4" fontId="5" fillId="5" borderId="4" xfId="1" applyNumberFormat="1" applyFont="1" applyFill="1" applyBorder="1" applyAlignment="1">
      <alignment horizontal="right" shrinkToFit="1"/>
    </xf>
    <xf numFmtId="4" fontId="7" fillId="0" borderId="0" xfId="0" applyNumberFormat="1" applyFont="1"/>
    <xf numFmtId="4" fontId="7" fillId="0" borderId="10" xfId="0" applyNumberFormat="1" applyFont="1" applyBorder="1" applyAlignment="1">
      <alignment vertical="center"/>
    </xf>
    <xf numFmtId="4" fontId="7" fillId="0" borderId="0" xfId="0" applyNumberFormat="1" applyFont="1" applyAlignment="1">
      <alignment horizontal="center" vertical="center"/>
    </xf>
    <xf numFmtId="4" fontId="8" fillId="0" borderId="0" xfId="0" applyNumberFormat="1" applyFont="1"/>
    <xf numFmtId="4" fontId="8" fillId="0" borderId="0" xfId="0" applyNumberFormat="1" applyFont="1" applyAlignment="1">
      <alignment horizontal="center" vertical="center"/>
    </xf>
    <xf numFmtId="165" fontId="8" fillId="2" borderId="4" xfId="1" applyNumberFormat="1" applyFont="1" applyFill="1" applyBorder="1" applyAlignment="1">
      <alignment horizontal="center"/>
    </xf>
    <xf numFmtId="3" fontId="13" fillId="0" borderId="4" xfId="0" applyNumberFormat="1" applyFont="1" applyBorder="1"/>
    <xf numFmtId="4" fontId="13" fillId="0" borderId="4" xfId="0" applyNumberFormat="1" applyFont="1" applyBorder="1"/>
    <xf numFmtId="0" fontId="13" fillId="0" borderId="4" xfId="0" applyFont="1" applyBorder="1"/>
    <xf numFmtId="4" fontId="13" fillId="0" borderId="0" xfId="0" applyNumberFormat="1" applyFont="1"/>
    <xf numFmtId="0" fontId="2" fillId="0" borderId="0" xfId="0" applyFont="1"/>
    <xf numFmtId="0" fontId="12" fillId="3" borderId="14" xfId="0" applyFont="1" applyFill="1" applyBorder="1" applyAlignment="1">
      <alignment horizontal="left" wrapText="1"/>
    </xf>
    <xf numFmtId="0" fontId="12" fillId="7" borderId="14" xfId="0" applyFont="1" applyFill="1" applyBorder="1"/>
    <xf numFmtId="4" fontId="2" fillId="0" borderId="0" xfId="0" applyNumberFormat="1" applyFont="1"/>
    <xf numFmtId="0" fontId="7" fillId="0" borderId="0" xfId="0" applyFont="1"/>
    <xf numFmtId="0" fontId="3" fillId="2" borderId="14" xfId="0" applyFont="1" applyFill="1" applyBorder="1"/>
    <xf numFmtId="0" fontId="5" fillId="2" borderId="0" xfId="0" applyFont="1" applyFill="1"/>
    <xf numFmtId="0" fontId="5" fillId="2" borderId="0" xfId="0" applyFont="1" applyFill="1" applyAlignment="1">
      <alignment horizontal="right"/>
    </xf>
    <xf numFmtId="41" fontId="5" fillId="2" borderId="0" xfId="2" applyFont="1" applyFill="1" applyBorder="1" applyAlignment="1">
      <alignment horizontal="right"/>
    </xf>
    <xf numFmtId="165" fontId="4" fillId="2" borderId="19" xfId="1" applyNumberFormat="1" applyFont="1" applyFill="1" applyBorder="1" applyAlignment="1">
      <alignment horizontal="center"/>
    </xf>
    <xf numFmtId="4" fontId="16" fillId="0" borderId="12" xfId="0" applyNumberFormat="1" applyFont="1" applyBorder="1"/>
    <xf numFmtId="4" fontId="16" fillId="5" borderId="4" xfId="0" applyNumberFormat="1" applyFont="1" applyFill="1" applyBorder="1"/>
    <xf numFmtId="4" fontId="13" fillId="0" borderId="19" xfId="0" applyNumberFormat="1" applyFont="1" applyBorder="1"/>
    <xf numFmtId="4" fontId="16" fillId="2" borderId="4" xfId="0" applyNumberFormat="1" applyFont="1" applyFill="1" applyBorder="1" applyAlignment="1">
      <alignment horizontal="left"/>
    </xf>
    <xf numFmtId="4" fontId="17" fillId="0" borderId="4" xfId="1" applyNumberFormat="1" applyFont="1" applyFill="1" applyBorder="1" applyAlignment="1">
      <alignment horizontal="right"/>
    </xf>
    <xf numFmtId="4" fontId="17" fillId="0" borderId="4" xfId="1" applyNumberFormat="1" applyFont="1" applyFill="1" applyBorder="1" applyAlignment="1">
      <alignment horizontal="right" shrinkToFit="1"/>
    </xf>
    <xf numFmtId="4" fontId="16" fillId="0" borderId="4" xfId="1" applyNumberFormat="1" applyFont="1" applyFill="1" applyBorder="1" applyAlignment="1">
      <alignment horizontal="right" shrinkToFit="1"/>
    </xf>
    <xf numFmtId="4" fontId="17" fillId="0" borderId="0" xfId="1" applyNumberFormat="1" applyFont="1" applyFill="1" applyBorder="1" applyAlignment="1">
      <alignment horizontal="right" shrinkToFit="1"/>
    </xf>
    <xf numFmtId="4" fontId="16" fillId="3" borderId="4" xfId="0" applyNumberFormat="1" applyFont="1" applyFill="1" applyBorder="1" applyAlignment="1">
      <alignment horizontal="left" shrinkToFit="1"/>
    </xf>
    <xf numFmtId="4" fontId="13" fillId="0" borderId="4" xfId="1" applyNumberFormat="1" applyFont="1" applyFill="1" applyBorder="1" applyAlignment="1">
      <alignment horizontal="right" shrinkToFit="1"/>
    </xf>
    <xf numFmtId="4" fontId="16" fillId="3" borderId="4" xfId="0" applyNumberFormat="1" applyFont="1" applyFill="1" applyBorder="1" applyAlignment="1">
      <alignment horizontal="left"/>
    </xf>
    <xf numFmtId="4" fontId="13" fillId="0" borderId="4" xfId="1" applyNumberFormat="1" applyFont="1" applyBorder="1" applyAlignment="1">
      <alignment horizontal="right" shrinkToFit="1"/>
    </xf>
    <xf numFmtId="4" fontId="16" fillId="3" borderId="4" xfId="0" applyNumberFormat="1" applyFont="1" applyFill="1" applyBorder="1" applyAlignment="1">
      <alignment wrapText="1"/>
    </xf>
    <xf numFmtId="4" fontId="17" fillId="0" borderId="4" xfId="1" applyNumberFormat="1" applyFont="1" applyFill="1" applyBorder="1" applyAlignment="1">
      <alignment horizontal="right" wrapText="1"/>
    </xf>
    <xf numFmtId="4" fontId="13" fillId="0" borderId="4" xfId="1" applyNumberFormat="1" applyFont="1" applyBorder="1" applyAlignment="1">
      <alignment horizontal="right"/>
    </xf>
    <xf numFmtId="4" fontId="16" fillId="3" borderId="4" xfId="0" applyNumberFormat="1" applyFont="1" applyFill="1" applyBorder="1" applyAlignment="1">
      <alignment horizontal="left" wrapText="1"/>
    </xf>
    <xf numFmtId="4" fontId="16" fillId="2" borderId="4" xfId="0" applyNumberFormat="1" applyFont="1" applyFill="1" applyBorder="1"/>
    <xf numFmtId="4" fontId="16" fillId="2" borderId="7" xfId="0" applyNumberFormat="1" applyFont="1" applyFill="1" applyBorder="1" applyAlignment="1">
      <alignment horizontal="left"/>
    </xf>
    <xf numFmtId="4" fontId="13" fillId="0" borderId="4" xfId="1" applyNumberFormat="1" applyFont="1" applyFill="1" applyBorder="1" applyAlignment="1">
      <alignment horizontal="right"/>
    </xf>
    <xf numFmtId="4" fontId="13" fillId="0" borderId="0" xfId="1" applyNumberFormat="1" applyFont="1" applyFill="1" applyBorder="1" applyAlignment="1">
      <alignment horizontal="right"/>
    </xf>
    <xf numFmtId="0" fontId="8" fillId="0" borderId="0" xfId="0" applyFont="1"/>
    <xf numFmtId="164" fontId="13" fillId="0" borderId="4" xfId="0" applyNumberFormat="1" applyFont="1" applyBorder="1"/>
    <xf numFmtId="166" fontId="13" fillId="0" borderId="4" xfId="0" applyNumberFormat="1" applyFont="1" applyBorder="1"/>
    <xf numFmtId="0" fontId="13" fillId="0" borderId="0" xfId="0" applyFont="1"/>
    <xf numFmtId="0" fontId="16" fillId="3" borderId="4" xfId="0" applyFont="1" applyFill="1" applyBorder="1"/>
    <xf numFmtId="3" fontId="3" fillId="2" borderId="4" xfId="0" applyNumberFormat="1" applyFont="1" applyFill="1" applyBorder="1"/>
    <xf numFmtId="0" fontId="16" fillId="0" borderId="4" xfId="0" applyFont="1" applyBorder="1"/>
    <xf numFmtId="3" fontId="16" fillId="0" borderId="4" xfId="0" applyNumberFormat="1" applyFont="1" applyBorder="1"/>
    <xf numFmtId="3" fontId="13" fillId="0" borderId="0" xfId="0" applyNumberFormat="1" applyFont="1"/>
    <xf numFmtId="0" fontId="12" fillId="2" borderId="4" xfId="0" applyFont="1" applyFill="1" applyBorder="1" applyAlignment="1">
      <alignment horizontal="center" vertical="center"/>
    </xf>
    <xf numFmtId="0" fontId="13" fillId="0" borderId="4" xfId="0" applyFont="1" applyBorder="1" applyAlignment="1">
      <alignment horizontal="right"/>
    </xf>
    <xf numFmtId="0" fontId="3" fillId="0" borderId="4" xfId="0" applyFont="1" applyBorder="1"/>
    <xf numFmtId="3" fontId="3" fillId="0" borderId="4" xfId="0" applyNumberFormat="1" applyFont="1" applyBorder="1"/>
    <xf numFmtId="3" fontId="3" fillId="0" borderId="0" xfId="0" applyNumberFormat="1" applyFont="1"/>
    <xf numFmtId="3" fontId="18" fillId="2" borderId="4" xfId="0" applyNumberFormat="1" applyFont="1" applyFill="1" applyBorder="1"/>
    <xf numFmtId="0" fontId="16" fillId="2" borderId="20" xfId="0" applyFont="1" applyFill="1" applyBorder="1"/>
    <xf numFmtId="0" fontId="19" fillId="2" borderId="8" xfId="0" applyFont="1" applyFill="1" applyBorder="1"/>
    <xf numFmtId="0" fontId="19" fillId="2" borderId="0" xfId="0" applyFont="1" applyFill="1"/>
    <xf numFmtId="0" fontId="16" fillId="2" borderId="11" xfId="0" applyFont="1" applyFill="1" applyBorder="1"/>
    <xf numFmtId="0" fontId="16" fillId="2" borderId="1" xfId="0" applyFont="1" applyFill="1" applyBorder="1"/>
    <xf numFmtId="0" fontId="19" fillId="2" borderId="2" xfId="0" applyFont="1" applyFill="1" applyBorder="1"/>
    <xf numFmtId="0" fontId="20" fillId="4" borderId="1" xfId="0" applyFont="1" applyFill="1" applyBorder="1" applyAlignment="1">
      <alignment horizontal="center" vertical="center" wrapText="1"/>
    </xf>
    <xf numFmtId="0" fontId="20" fillId="4" borderId="1" xfId="0" applyFont="1" applyFill="1" applyBorder="1" applyAlignment="1">
      <alignment vertical="center" wrapText="1"/>
    </xf>
    <xf numFmtId="0" fontId="20" fillId="4" borderId="4" xfId="0" applyFont="1" applyFill="1" applyBorder="1" applyAlignment="1">
      <alignment vertical="center" wrapText="1"/>
    </xf>
    <xf numFmtId="0" fontId="16" fillId="2" borderId="9" xfId="0" applyFont="1" applyFill="1" applyBorder="1" applyAlignment="1">
      <alignment horizontal="center" shrinkToFit="1"/>
    </xf>
    <xf numFmtId="0" fontId="18" fillId="2" borderId="23" xfId="0" applyFont="1" applyFill="1" applyBorder="1" applyAlignment="1">
      <alignment wrapText="1"/>
    </xf>
    <xf numFmtId="0" fontId="19" fillId="0" borderId="0" xfId="0" applyFont="1"/>
    <xf numFmtId="0" fontId="16" fillId="3" borderId="7" xfId="0" applyFont="1" applyFill="1" applyBorder="1"/>
    <xf numFmtId="0" fontId="16" fillId="0" borderId="0" xfId="0" applyFont="1"/>
    <xf numFmtId="0" fontId="16" fillId="2" borderId="4" xfId="0" applyFont="1" applyFill="1" applyBorder="1" applyAlignment="1">
      <alignment horizontal="left"/>
    </xf>
    <xf numFmtId="0" fontId="16" fillId="2" borderId="4" xfId="0" applyFont="1" applyFill="1" applyBorder="1"/>
    <xf numFmtId="1" fontId="16" fillId="2" borderId="0" xfId="3" applyNumberFormat="1" applyFont="1" applyFill="1" applyAlignment="1">
      <alignment wrapText="1"/>
    </xf>
    <xf numFmtId="0" fontId="16" fillId="3" borderId="7" xfId="0" applyFont="1" applyFill="1" applyBorder="1" applyAlignment="1">
      <alignment horizontal="left" shrinkToFit="1"/>
    </xf>
    <xf numFmtId="0" fontId="16" fillId="3" borderId="7" xfId="0" applyFont="1" applyFill="1" applyBorder="1" applyAlignment="1">
      <alignment wrapText="1"/>
    </xf>
    <xf numFmtId="0" fontId="16" fillId="3" borderId="20" xfId="0" applyFont="1" applyFill="1" applyBorder="1" applyAlignment="1">
      <alignment wrapText="1"/>
    </xf>
    <xf numFmtId="0" fontId="16" fillId="2" borderId="23" xfId="0" applyFont="1" applyFill="1" applyBorder="1"/>
    <xf numFmtId="0" fontId="16" fillId="0" borderId="23" xfId="0" applyFont="1" applyBorder="1" applyAlignment="1">
      <alignment horizontal="left"/>
    </xf>
    <xf numFmtId="0" fontId="16" fillId="2" borderId="23" xfId="0" applyFont="1" applyFill="1" applyBorder="1" applyAlignment="1">
      <alignment horizontal="left"/>
    </xf>
    <xf numFmtId="0" fontId="4" fillId="0" borderId="4" xfId="0" applyFont="1" applyBorder="1"/>
    <xf numFmtId="0" fontId="4" fillId="0" borderId="4" xfId="0" applyFont="1" applyBorder="1" applyAlignment="1">
      <alignment vertical="center" wrapText="1"/>
    </xf>
    <xf numFmtId="0" fontId="4" fillId="0" borderId="4" xfId="0" applyFont="1" applyBorder="1" applyAlignment="1">
      <alignment vertical="center"/>
    </xf>
    <xf numFmtId="0" fontId="4" fillId="0" borderId="4" xfId="0" applyFont="1" applyBorder="1" applyAlignment="1">
      <alignment horizontal="center" vertical="center" wrapText="1"/>
    </xf>
    <xf numFmtId="165" fontId="4" fillId="0" borderId="4" xfId="1" applyNumberFormat="1" applyFont="1" applyBorder="1" applyAlignment="1">
      <alignment horizontal="center" vertical="center" wrapText="1"/>
    </xf>
    <xf numFmtId="0" fontId="7" fillId="0" borderId="4" xfId="0" applyFont="1" applyBorder="1"/>
    <xf numFmtId="165" fontId="7" fillId="0" borderId="4" xfId="1" applyNumberFormat="1" applyFont="1" applyBorder="1"/>
    <xf numFmtId="0" fontId="6" fillId="0" borderId="4" xfId="0" applyFont="1" applyBorder="1" applyAlignment="1">
      <alignment horizontal="left"/>
    </xf>
    <xf numFmtId="164" fontId="7" fillId="0" borderId="4" xfId="0" applyNumberFormat="1" applyFont="1" applyBorder="1"/>
    <xf numFmtId="0" fontId="6" fillId="0" borderId="4" xfId="0" applyFont="1" applyBorder="1"/>
    <xf numFmtId="0" fontId="8" fillId="9" borderId="4" xfId="0" applyFont="1" applyFill="1" applyBorder="1"/>
    <xf numFmtId="0" fontId="4" fillId="9" borderId="4" xfId="0" applyFont="1" applyFill="1" applyBorder="1" applyAlignment="1">
      <alignment horizontal="left"/>
    </xf>
    <xf numFmtId="165" fontId="8" fillId="9" borderId="4" xfId="1" applyNumberFormat="1" applyFont="1" applyFill="1" applyBorder="1"/>
    <xf numFmtId="164" fontId="7" fillId="9" borderId="4" xfId="0" applyNumberFormat="1" applyFont="1" applyFill="1" applyBorder="1"/>
    <xf numFmtId="0" fontId="4" fillId="0" borderId="4" xfId="0" applyFont="1" applyBorder="1" applyAlignment="1">
      <alignment horizontal="left" wrapText="1"/>
    </xf>
    <xf numFmtId="0" fontId="6" fillId="0" borderId="4" xfId="0" applyFont="1" applyBorder="1" applyAlignment="1">
      <alignment horizontal="left" wrapText="1"/>
    </xf>
    <xf numFmtId="3" fontId="7" fillId="0" borderId="4" xfId="0" applyNumberFormat="1" applyFont="1" applyBorder="1"/>
    <xf numFmtId="0" fontId="4" fillId="0" borderId="4" xfId="0" applyFont="1" applyBorder="1" applyAlignment="1">
      <alignment horizontal="left"/>
    </xf>
    <xf numFmtId="165" fontId="8" fillId="0" borderId="4" xfId="1" applyNumberFormat="1" applyFont="1" applyFill="1" applyBorder="1"/>
    <xf numFmtId="0" fontId="4" fillId="10" borderId="4" xfId="0" applyFont="1" applyFill="1" applyBorder="1" applyAlignment="1">
      <alignment horizontal="left"/>
    </xf>
    <xf numFmtId="165" fontId="8" fillId="10" borderId="4" xfId="1" applyNumberFormat="1" applyFont="1" applyFill="1" applyBorder="1"/>
    <xf numFmtId="164" fontId="7" fillId="10" borderId="4" xfId="0" applyNumberFormat="1" applyFont="1" applyFill="1" applyBorder="1"/>
    <xf numFmtId="0" fontId="4" fillId="0" borderId="4" xfId="0" applyFont="1" applyBorder="1" applyAlignment="1">
      <alignment wrapText="1"/>
    </xf>
    <xf numFmtId="0" fontId="6" fillId="0" borderId="10" xfId="0" applyFont="1" applyBorder="1" applyAlignment="1">
      <alignment horizontal="center"/>
    </xf>
    <xf numFmtId="165" fontId="7" fillId="0" borderId="10" xfId="1" applyNumberFormat="1" applyFont="1" applyBorder="1" applyAlignment="1">
      <alignment horizontal="center"/>
    </xf>
    <xf numFmtId="0" fontId="6" fillId="9" borderId="10" xfId="0" applyFont="1" applyFill="1" applyBorder="1" applyAlignment="1">
      <alignment horizontal="left"/>
    </xf>
    <xf numFmtId="0" fontId="7" fillId="9" borderId="4" xfId="0" applyFont="1" applyFill="1" applyBorder="1"/>
    <xf numFmtId="3" fontId="7" fillId="9" borderId="4" xfId="0" applyNumberFormat="1" applyFont="1" applyFill="1" applyBorder="1"/>
    <xf numFmtId="165" fontId="7" fillId="9" borderId="10" xfId="1" applyNumberFormat="1" applyFont="1" applyFill="1" applyBorder="1" applyAlignment="1">
      <alignment horizontal="center"/>
    </xf>
    <xf numFmtId="0" fontId="6" fillId="0" borderId="10" xfId="0" applyFont="1" applyBorder="1" applyAlignment="1">
      <alignment horizontal="left"/>
    </xf>
    <xf numFmtId="0" fontId="7" fillId="0" borderId="4" xfId="0" applyFont="1" applyBorder="1" applyAlignment="1">
      <alignment wrapText="1"/>
    </xf>
    <xf numFmtId="0" fontId="4" fillId="9" borderId="4" xfId="0" applyFont="1" applyFill="1" applyBorder="1"/>
    <xf numFmtId="0" fontId="4" fillId="10" borderId="4" xfId="0" applyFont="1" applyFill="1" applyBorder="1"/>
    <xf numFmtId="0" fontId="23" fillId="11" borderId="4" xfId="0" applyFont="1" applyFill="1" applyBorder="1"/>
    <xf numFmtId="0" fontId="22" fillId="11" borderId="4" xfId="0" applyFont="1" applyFill="1" applyBorder="1"/>
    <xf numFmtId="165" fontId="24" fillId="11" borderId="4" xfId="1" applyNumberFormat="1" applyFont="1" applyFill="1" applyBorder="1"/>
    <xf numFmtId="0" fontId="0" fillId="0" borderId="4" xfId="0" applyBorder="1"/>
    <xf numFmtId="165" fontId="0" fillId="0" borderId="4" xfId="1" applyNumberFormat="1" applyFont="1" applyBorder="1"/>
    <xf numFmtId="165" fontId="0" fillId="0" borderId="0" xfId="1" applyNumberFormat="1" applyFont="1"/>
    <xf numFmtId="0" fontId="4" fillId="0" borderId="0" xfId="0" applyFont="1"/>
    <xf numFmtId="0" fontId="14" fillId="2" borderId="4" xfId="0" applyFont="1" applyFill="1" applyBorder="1" applyAlignment="1">
      <alignment horizontal="center" shrinkToFit="1"/>
    </xf>
    <xf numFmtId="0" fontId="2" fillId="0" borderId="4" xfId="0" applyFont="1" applyBorder="1" applyAlignment="1">
      <alignment horizontal="center"/>
    </xf>
    <xf numFmtId="0" fontId="2" fillId="13" borderId="4" xfId="0" applyFont="1" applyFill="1" applyBorder="1" applyAlignment="1">
      <alignment horizontal="center"/>
    </xf>
    <xf numFmtId="0" fontId="2" fillId="0" borderId="0" xfId="0" applyFont="1" applyAlignment="1"/>
    <xf numFmtId="4" fontId="4" fillId="14" borderId="24" xfId="0" applyNumberFormat="1" applyFont="1" applyFill="1" applyBorder="1" applyAlignment="1">
      <alignment vertical="center" wrapText="1"/>
    </xf>
    <xf numFmtId="1" fontId="7" fillId="0" borderId="0" xfId="0" applyNumberFormat="1" applyFont="1"/>
    <xf numFmtId="1" fontId="8" fillId="0" borderId="0" xfId="0" applyNumberFormat="1" applyFont="1"/>
    <xf numFmtId="4" fontId="8" fillId="0" borderId="4" xfId="0" applyNumberFormat="1" applyFont="1" applyBorder="1" applyAlignment="1">
      <alignment wrapText="1"/>
    </xf>
    <xf numFmtId="4" fontId="7" fillId="0" borderId="4" xfId="0" applyNumberFormat="1" applyFont="1" applyBorder="1" applyAlignment="1">
      <alignment horizontal="right"/>
    </xf>
    <xf numFmtId="4" fontId="7" fillId="0" borderId="4" xfId="1" applyNumberFormat="1" applyFont="1" applyBorder="1" applyAlignment="1">
      <alignment horizontal="right"/>
    </xf>
    <xf numFmtId="4" fontId="7" fillId="0" borderId="4" xfId="1" applyNumberFormat="1" applyFont="1" applyBorder="1"/>
    <xf numFmtId="4" fontId="7" fillId="0" borderId="7" xfId="0" applyNumberFormat="1" applyFont="1" applyBorder="1"/>
    <xf numFmtId="4" fontId="7" fillId="0" borderId="5" xfId="0" applyNumberFormat="1" applyFont="1" applyBorder="1"/>
    <xf numFmtId="4" fontId="7" fillId="0" borderId="6" xfId="0" applyNumberFormat="1" applyFont="1" applyBorder="1"/>
    <xf numFmtId="4" fontId="12" fillId="2" borderId="20" xfId="0" applyNumberFormat="1" applyFont="1" applyFill="1" applyBorder="1"/>
    <xf numFmtId="4" fontId="7" fillId="2" borderId="8" xfId="0" applyNumberFormat="1" applyFont="1" applyFill="1" applyBorder="1"/>
    <xf numFmtId="4" fontId="7" fillId="2" borderId="21" xfId="0" applyNumberFormat="1" applyFont="1" applyFill="1" applyBorder="1"/>
    <xf numFmtId="4" fontId="12" fillId="2" borderId="11" xfId="0" applyNumberFormat="1" applyFont="1" applyFill="1" applyBorder="1"/>
    <xf numFmtId="4" fontId="7" fillId="2" borderId="0" xfId="0" applyNumberFormat="1" applyFont="1" applyFill="1"/>
    <xf numFmtId="4" fontId="7" fillId="2" borderId="15" xfId="0" applyNumberFormat="1" applyFont="1" applyFill="1" applyBorder="1"/>
    <xf numFmtId="4" fontId="12" fillId="2" borderId="1" xfId="0" applyNumberFormat="1" applyFont="1" applyFill="1" applyBorder="1"/>
    <xf numFmtId="4" fontId="7" fillId="2" borderId="2" xfId="0" applyNumberFormat="1" applyFont="1" applyFill="1" applyBorder="1"/>
    <xf numFmtId="4" fontId="7" fillId="2" borderId="3" xfId="0" applyNumberFormat="1" applyFont="1" applyFill="1" applyBorder="1"/>
    <xf numFmtId="4" fontId="12" fillId="2" borderId="9" xfId="0" applyNumberFormat="1" applyFont="1" applyFill="1" applyBorder="1" applyAlignment="1">
      <alignment horizontal="center" shrinkToFit="1"/>
    </xf>
    <xf numFmtId="4" fontId="12" fillId="2" borderId="1" xfId="0" applyNumberFormat="1" applyFont="1" applyFill="1" applyBorder="1" applyAlignment="1">
      <alignment horizontal="left"/>
    </xf>
    <xf numFmtId="4" fontId="12" fillId="3" borderId="7" xfId="0" applyNumberFormat="1" applyFont="1" applyFill="1" applyBorder="1" applyAlignment="1">
      <alignment horizontal="left" shrinkToFit="1"/>
    </xf>
    <xf numFmtId="4" fontId="12" fillId="3" borderId="7" xfId="0" applyNumberFormat="1" applyFont="1" applyFill="1" applyBorder="1" applyAlignment="1">
      <alignment wrapText="1"/>
    </xf>
    <xf numFmtId="4" fontId="12" fillId="2" borderId="7" xfId="0" applyNumberFormat="1" applyFont="1" applyFill="1" applyBorder="1" applyAlignment="1">
      <alignment wrapText="1"/>
    </xf>
    <xf numFmtId="4" fontId="12" fillId="3" borderId="7" xfId="0" applyNumberFormat="1" applyFont="1" applyFill="1" applyBorder="1" applyAlignment="1">
      <alignment horizontal="left" wrapText="1"/>
    </xf>
    <xf numFmtId="4" fontId="12" fillId="2" borderId="7" xfId="0" applyNumberFormat="1" applyFont="1" applyFill="1" applyBorder="1" applyAlignment="1">
      <alignment horizontal="left" wrapText="1"/>
    </xf>
    <xf numFmtId="4" fontId="12" fillId="2" borderId="7" xfId="0" applyNumberFormat="1" applyFont="1" applyFill="1" applyBorder="1"/>
    <xf numFmtId="4" fontId="12" fillId="3" borderId="22" xfId="0" applyNumberFormat="1" applyFont="1" applyFill="1" applyBorder="1" applyAlignment="1">
      <alignment horizontal="left" wrapText="1"/>
    </xf>
    <xf numFmtId="4" fontId="12" fillId="0" borderId="23" xfId="0" applyNumberFormat="1" applyFont="1" applyBorder="1"/>
    <xf numFmtId="4" fontId="12" fillId="3" borderId="7" xfId="0" applyNumberFormat="1" applyFont="1" applyFill="1" applyBorder="1"/>
    <xf numFmtId="4" fontId="12" fillId="3" borderId="20" xfId="0" applyNumberFormat="1" applyFont="1" applyFill="1" applyBorder="1"/>
    <xf numFmtId="4" fontId="12" fillId="2" borderId="20" xfId="0" applyNumberFormat="1" applyFont="1" applyFill="1" applyBorder="1" applyAlignment="1">
      <alignment horizontal="left"/>
    </xf>
    <xf numFmtId="4" fontId="12" fillId="2" borderId="4" xfId="0" applyNumberFormat="1" applyFont="1" applyFill="1" applyBorder="1"/>
    <xf numFmtId="4" fontId="13" fillId="2" borderId="4" xfId="0" applyNumberFormat="1" applyFont="1" applyFill="1" applyBorder="1"/>
    <xf numFmtId="4" fontId="13" fillId="2" borderId="9" xfId="0" applyNumberFormat="1" applyFont="1" applyFill="1" applyBorder="1"/>
    <xf numFmtId="4" fontId="12" fillId="0" borderId="23" xfId="0" applyNumberFormat="1" applyFont="1" applyBorder="1" applyAlignment="1">
      <alignment horizontal="left"/>
    </xf>
    <xf numFmtId="4" fontId="12" fillId="0" borderId="0" xfId="0" applyNumberFormat="1" applyFont="1"/>
    <xf numFmtId="4" fontId="12" fillId="12" borderId="11" xfId="0" applyNumberFormat="1" applyFont="1" applyFill="1" applyBorder="1"/>
    <xf numFmtId="4" fontId="7" fillId="12" borderId="0" xfId="0" applyNumberFormat="1" applyFont="1" applyFill="1" applyBorder="1"/>
    <xf numFmtId="4" fontId="12" fillId="12" borderId="20" xfId="0" applyNumberFormat="1" applyFont="1" applyFill="1" applyBorder="1"/>
    <xf numFmtId="4" fontId="7" fillId="12" borderId="8" xfId="0" applyNumberFormat="1" applyFont="1" applyFill="1" applyBorder="1"/>
    <xf numFmtId="4" fontId="7" fillId="0" borderId="15" xfId="0" applyNumberFormat="1" applyFont="1" applyBorder="1"/>
    <xf numFmtId="4" fontId="7" fillId="12" borderId="0" xfId="0" applyNumberFormat="1" applyFont="1" applyFill="1"/>
    <xf numFmtId="4" fontId="8" fillId="12" borderId="0" xfId="0" applyNumberFormat="1" applyFont="1" applyFill="1"/>
    <xf numFmtId="4" fontId="8" fillId="0" borderId="4" xfId="0" applyNumberFormat="1" applyFont="1" applyBorder="1" applyAlignment="1">
      <alignment horizontal="center" vertical="center" wrapText="1"/>
    </xf>
    <xf numFmtId="4" fontId="12" fillId="2" borderId="25" xfId="0" applyNumberFormat="1" applyFont="1" applyFill="1" applyBorder="1" applyAlignment="1">
      <alignment horizontal="left"/>
    </xf>
    <xf numFmtId="4" fontId="12" fillId="2" borderId="25" xfId="0" applyNumberFormat="1" applyFont="1" applyFill="1" applyBorder="1"/>
    <xf numFmtId="4" fontId="12" fillId="2" borderId="0" xfId="0" applyNumberFormat="1" applyFont="1" applyFill="1" applyBorder="1" applyAlignment="1">
      <alignment horizontal="left"/>
    </xf>
    <xf numFmtId="4" fontId="13" fillId="2" borderId="0" xfId="0" applyNumberFormat="1" applyFont="1" applyFill="1" applyBorder="1"/>
    <xf numFmtId="4" fontId="12" fillId="2" borderId="26" xfId="0" applyNumberFormat="1" applyFont="1" applyFill="1" applyBorder="1" applyAlignment="1">
      <alignment horizontal="left"/>
    </xf>
    <xf numFmtId="4" fontId="12" fillId="3" borderId="27" xfId="0" applyNumberFormat="1" applyFont="1" applyFill="1" applyBorder="1" applyAlignment="1">
      <alignment horizontal="left" shrinkToFit="1"/>
    </xf>
    <xf numFmtId="4" fontId="12" fillId="3" borderId="27" xfId="0" applyNumberFormat="1" applyFont="1" applyFill="1" applyBorder="1" applyAlignment="1">
      <alignment wrapText="1"/>
    </xf>
    <xf numFmtId="4" fontId="12" fillId="3" borderId="27" xfId="0" applyNumberFormat="1" applyFont="1" applyFill="1" applyBorder="1" applyAlignment="1">
      <alignment horizontal="left" wrapText="1"/>
    </xf>
    <xf numFmtId="4" fontId="12" fillId="2" borderId="27" xfId="0" applyNumberFormat="1" applyFont="1" applyFill="1" applyBorder="1"/>
    <xf numFmtId="4" fontId="12" fillId="3" borderId="26" xfId="0" applyNumberFormat="1" applyFont="1" applyFill="1" applyBorder="1" applyAlignment="1">
      <alignment horizontal="left" wrapText="1"/>
    </xf>
    <xf numFmtId="4" fontId="12" fillId="2" borderId="7" xfId="0" applyNumberFormat="1" applyFont="1" applyFill="1" applyBorder="1" applyAlignment="1">
      <alignment vertical="center"/>
    </xf>
    <xf numFmtId="0" fontId="12" fillId="3" borderId="27" xfId="0" applyFont="1" applyFill="1" applyBorder="1" applyAlignment="1">
      <alignment horizontal="left" wrapText="1"/>
    </xf>
    <xf numFmtId="0" fontId="12" fillId="2" borderId="27" xfId="0" applyFont="1" applyFill="1" applyBorder="1"/>
    <xf numFmtId="0" fontId="12" fillId="2" borderId="28" xfId="0" applyFont="1" applyFill="1" applyBorder="1"/>
    <xf numFmtId="0" fontId="12" fillId="3" borderId="27" xfId="0" applyFont="1" applyFill="1" applyBorder="1"/>
    <xf numFmtId="0" fontId="12" fillId="3" borderId="27" xfId="0" applyFont="1" applyFill="1" applyBorder="1" applyAlignment="1">
      <alignment horizontal="left"/>
    </xf>
    <xf numFmtId="0" fontId="12" fillId="7" borderId="30" xfId="0" applyFont="1" applyFill="1" applyBorder="1"/>
    <xf numFmtId="0" fontId="12" fillId="7" borderId="27" xfId="0" applyFont="1" applyFill="1" applyBorder="1" applyAlignment="1">
      <alignment horizontal="left" vertical="top"/>
    </xf>
    <xf numFmtId="0" fontId="13" fillId="8" borderId="31" xfId="0" applyFont="1" applyFill="1" applyBorder="1" applyAlignment="1">
      <alignment horizontal="left" vertical="top"/>
    </xf>
    <xf numFmtId="0" fontId="13" fillId="8" borderId="7" xfId="0" applyFont="1" applyFill="1" applyBorder="1"/>
    <xf numFmtId="4" fontId="7" fillId="0" borderId="4" xfId="0" applyNumberFormat="1" applyFont="1" applyBorder="1"/>
    <xf numFmtId="4" fontId="6" fillId="0" borderId="4" xfId="0" applyNumberFormat="1" applyFont="1" applyBorder="1"/>
    <xf numFmtId="4" fontId="5" fillId="0" borderId="4" xfId="1" applyNumberFormat="1" applyFont="1" applyFill="1" applyBorder="1"/>
    <xf numFmtId="4" fontId="0" fillId="0" borderId="4" xfId="0" applyNumberFormat="1" applyBorder="1"/>
    <xf numFmtId="0" fontId="2" fillId="0" borderId="4" xfId="0" applyFont="1" applyBorder="1"/>
    <xf numFmtId="4" fontId="8" fillId="0" borderId="4" xfId="0" applyNumberFormat="1" applyFont="1" applyBorder="1"/>
    <xf numFmtId="4" fontId="2" fillId="0" borderId="4" xfId="0" applyNumberFormat="1" applyFont="1" applyBorder="1"/>
    <xf numFmtId="4" fontId="4" fillId="0" borderId="0" xfId="0" applyNumberFormat="1" applyFont="1" applyAlignment="1"/>
    <xf numFmtId="0" fontId="11" fillId="0" borderId="0" xfId="0" applyFont="1" applyAlignment="1"/>
    <xf numFmtId="4" fontId="9" fillId="0" borderId="0" xfId="0" applyNumberFormat="1" applyFont="1" applyAlignment="1"/>
    <xf numFmtId="0" fontId="10" fillId="0" borderId="0" xfId="0" applyFont="1" applyAlignment="1"/>
    <xf numFmtId="4" fontId="8" fillId="0" borderId="4" xfId="0" applyNumberFormat="1" applyFont="1" applyBorder="1" applyAlignment="1">
      <alignment horizontal="right" vertical="center"/>
    </xf>
    <xf numFmtId="0" fontId="0" fillId="0" borderId="4" xfId="0" applyBorder="1" applyAlignment="1">
      <alignment horizontal="right" vertical="center"/>
    </xf>
    <xf numFmtId="4" fontId="2" fillId="0" borderId="4" xfId="0" applyNumberFormat="1" applyFont="1" applyBorder="1" applyAlignment="1">
      <alignment horizontal="right" vertical="center"/>
    </xf>
    <xf numFmtId="0" fontId="2" fillId="0" borderId="4" xfId="0" applyFont="1" applyBorder="1" applyAlignment="1">
      <alignment horizontal="right" vertical="center"/>
    </xf>
    <xf numFmtId="2" fontId="8" fillId="7" borderId="16" xfId="0" applyNumberFormat="1" applyFont="1" applyFill="1" applyBorder="1" applyAlignment="1">
      <alignment horizontal="center" vertical="center"/>
    </xf>
    <xf numFmtId="2" fontId="8" fillId="7" borderId="0" xfId="0" applyNumberFormat="1" applyFont="1" applyFill="1" applyBorder="1" applyAlignment="1">
      <alignment horizontal="center" vertical="center"/>
    </xf>
    <xf numFmtId="4" fontId="7" fillId="0" borderId="17" xfId="0" applyNumberFormat="1" applyFont="1" applyBorder="1" applyAlignment="1"/>
    <xf numFmtId="4" fontId="7" fillId="0" borderId="2" xfId="0" applyNumberFormat="1" applyFont="1" applyBorder="1" applyAlignment="1"/>
    <xf numFmtId="0" fontId="12" fillId="3" borderId="28" xfId="0" applyFont="1" applyFill="1" applyBorder="1" applyAlignment="1">
      <alignment vertical="center"/>
    </xf>
    <xf numFmtId="0" fontId="0" fillId="0" borderId="29" xfId="0" applyBorder="1" applyAlignment="1">
      <alignment vertical="center"/>
    </xf>
    <xf numFmtId="0" fontId="12" fillId="7" borderId="18" xfId="0" applyFont="1" applyFill="1" applyBorder="1" applyAlignment="1">
      <alignment vertical="center"/>
    </xf>
    <xf numFmtId="0" fontId="12" fillId="7" borderId="29" xfId="0" applyFont="1" applyFill="1" applyBorder="1" applyAlignment="1">
      <alignment vertical="center"/>
    </xf>
    <xf numFmtId="0" fontId="12" fillId="2" borderId="4" xfId="0" applyFont="1" applyFill="1" applyBorder="1" applyAlignment="1">
      <alignment horizontal="center" vertical="center"/>
    </xf>
    <xf numFmtId="0" fontId="13" fillId="0" borderId="4" xfId="0" applyFont="1" applyBorder="1" applyAlignment="1">
      <alignment horizontal="center" vertical="center"/>
    </xf>
    <xf numFmtId="0" fontId="18" fillId="2" borderId="4" xfId="0" applyFont="1" applyFill="1" applyBorder="1" applyAlignment="1">
      <alignment horizontal="center" vertical="center"/>
    </xf>
    <xf numFmtId="0" fontId="3" fillId="2" borderId="18" xfId="0" applyFont="1" applyFill="1" applyBorder="1"/>
    <xf numFmtId="0" fontId="5" fillId="2" borderId="16" xfId="0" applyFont="1" applyFill="1" applyBorder="1"/>
    <xf numFmtId="0" fontId="3" fillId="2" borderId="14" xfId="0" applyFont="1" applyFill="1" applyBorder="1" applyAlignment="1">
      <alignment horizontal="left"/>
    </xf>
    <xf numFmtId="0" fontId="3" fillId="2" borderId="0" xfId="0" applyFont="1" applyFill="1" applyAlignment="1">
      <alignment horizontal="left"/>
    </xf>
    <xf numFmtId="165" fontId="3" fillId="2" borderId="14" xfId="1" applyNumberFormat="1" applyFont="1" applyFill="1" applyBorder="1" applyAlignment="1">
      <alignment horizontal="left"/>
    </xf>
    <xf numFmtId="165" fontId="3" fillId="2" borderId="0" xfId="1" applyNumberFormat="1" applyFont="1" applyFill="1" applyBorder="1" applyAlignment="1">
      <alignment horizontal="left"/>
    </xf>
    <xf numFmtId="0" fontId="3" fillId="3" borderId="4" xfId="0" applyFont="1" applyFill="1" applyBorder="1"/>
    <xf numFmtId="0" fontId="13" fillId="0" borderId="4" xfId="0" applyFont="1" applyBorder="1"/>
    <xf numFmtId="4" fontId="3" fillId="3" borderId="4" xfId="0" applyNumberFormat="1" applyFont="1" applyFill="1" applyBorder="1" applyAlignment="1">
      <alignment horizontal="left"/>
    </xf>
    <xf numFmtId="4" fontId="5" fillId="0" borderId="4" xfId="0" applyNumberFormat="1" applyFont="1" applyBorder="1" applyAlignment="1">
      <alignment horizontal="left"/>
    </xf>
    <xf numFmtId="4" fontId="12" fillId="2" borderId="18" xfId="0" applyNumberFormat="1" applyFont="1" applyFill="1" applyBorder="1" applyAlignment="1">
      <alignment horizontal="center" vertical="center"/>
    </xf>
    <xf numFmtId="4" fontId="12" fillId="2" borderId="14" xfId="0" applyNumberFormat="1" applyFont="1" applyFill="1" applyBorder="1" applyAlignment="1">
      <alignment horizontal="center" vertical="center"/>
    </xf>
    <xf numFmtId="4" fontId="12" fillId="2" borderId="13" xfId="0" applyNumberFormat="1" applyFont="1" applyFill="1" applyBorder="1" applyAlignment="1">
      <alignment horizontal="center" vertical="center"/>
    </xf>
    <xf numFmtId="4" fontId="12" fillId="3" borderId="7" xfId="0" applyNumberFormat="1" applyFont="1" applyFill="1" applyBorder="1" applyAlignment="1">
      <alignment horizontal="center" shrinkToFit="1"/>
    </xf>
    <xf numFmtId="4" fontId="12" fillId="3" borderId="6" xfId="0" applyNumberFormat="1" applyFont="1" applyFill="1" applyBorder="1" applyAlignment="1">
      <alignment horizontal="center" shrinkToFit="1"/>
    </xf>
    <xf numFmtId="4" fontId="12" fillId="3" borderId="20" xfId="0" applyNumberFormat="1" applyFont="1" applyFill="1" applyBorder="1" applyAlignment="1">
      <alignment horizontal="left"/>
    </xf>
    <xf numFmtId="4" fontId="13" fillId="0" borderId="1" xfId="0" applyNumberFormat="1" applyFont="1" applyBorder="1" applyAlignment="1">
      <alignment horizontal="left"/>
    </xf>
    <xf numFmtId="4" fontId="12" fillId="3" borderId="8" xfId="0" applyNumberFormat="1" applyFont="1" applyFill="1" applyBorder="1"/>
    <xf numFmtId="4" fontId="7" fillId="0" borderId="2" xfId="0" applyNumberFormat="1" applyFont="1" applyBorder="1"/>
    <xf numFmtId="0" fontId="16" fillId="2" borderId="16" xfId="0" applyFont="1" applyFill="1" applyBorder="1" applyAlignment="1">
      <alignment horizontal="center" vertical="center"/>
    </xf>
    <xf numFmtId="0" fontId="16" fillId="2" borderId="0" xfId="0" applyFont="1" applyFill="1" applyAlignment="1">
      <alignment horizontal="center" vertical="center"/>
    </xf>
    <xf numFmtId="0" fontId="3" fillId="3" borderId="8" xfId="0" applyFont="1" applyFill="1" applyBorder="1"/>
    <xf numFmtId="0" fontId="6" fillId="0" borderId="2" xfId="0" applyFont="1" applyBorder="1"/>
    <xf numFmtId="0" fontId="16" fillId="3" borderId="20" xfId="0" applyFont="1" applyFill="1" applyBorder="1" applyAlignment="1">
      <alignment horizontal="left"/>
    </xf>
    <xf numFmtId="0" fontId="17" fillId="0" borderId="1" xfId="0" applyFont="1" applyBorder="1" applyAlignment="1">
      <alignment horizontal="left"/>
    </xf>
    <xf numFmtId="0" fontId="0" fillId="0" borderId="2" xfId="0" applyBorder="1" applyAlignment="1">
      <alignment horizontal="center"/>
    </xf>
    <xf numFmtId="0" fontId="4" fillId="0" borderId="7" xfId="0" applyFont="1" applyBorder="1" applyAlignment="1">
      <alignment horizontal="left"/>
    </xf>
    <xf numFmtId="0" fontId="4" fillId="0" borderId="6" xfId="0" applyFont="1" applyBorder="1" applyAlignment="1">
      <alignment horizontal="left"/>
    </xf>
    <xf numFmtId="0" fontId="4" fillId="0" borderId="8" xfId="0" applyFont="1" applyBorder="1" applyAlignment="1">
      <alignment horizontal="left" wrapText="1"/>
    </xf>
    <xf numFmtId="0" fontId="21" fillId="0" borderId="0" xfId="0" applyFont="1" applyAlignment="1">
      <alignment horizontal="center"/>
    </xf>
    <xf numFmtId="0" fontId="22" fillId="0" borderId="0" xfId="0" applyFont="1" applyAlignment="1">
      <alignment horizontal="center"/>
    </xf>
    <xf numFmtId="0" fontId="4" fillId="0" borderId="0" xfId="0" applyFont="1" applyAlignment="1">
      <alignment horizontal="left"/>
    </xf>
    <xf numFmtId="0" fontId="4" fillId="0" borderId="0" xfId="0" applyFont="1" applyAlignment="1">
      <alignment horizontal="center"/>
    </xf>
    <xf numFmtId="4" fontId="7" fillId="12" borderId="21" xfId="0" applyNumberFormat="1" applyFont="1" applyFill="1" applyBorder="1"/>
  </cellXfs>
  <cellStyles count="4">
    <cellStyle name="Comma" xfId="1" builtinId="3"/>
    <cellStyle name="Comma [0]" xfId="2" builtinId="6"/>
    <cellStyle name="Normal" xfId="0" builtinId="0"/>
    <cellStyle name="Normal 2" xfId="3" xr:uid="{A800036D-E1BA-497C-8EC1-FA2B1D68E927}"/>
  </cellStyles>
  <dxfs count="56">
    <dxf>
      <numFmt numFmtId="4" formatCode="#,##0.0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1"/>
        <color theme="1"/>
        <name val="Calibri"/>
        <family val="2"/>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
      <font>
        <b/>
        <i val="0"/>
        <strike val="0"/>
        <condense val="0"/>
        <extend val="0"/>
        <outline val="0"/>
        <shadow val="0"/>
        <u val="none"/>
        <vertAlign val="baseline"/>
        <sz val="11"/>
        <color theme="1"/>
        <name val="Times New Roman"/>
        <family val="1"/>
        <scheme val="none"/>
      </font>
    </dxf>
    <dxf>
      <font>
        <strike val="0"/>
        <outline val="0"/>
        <shadow val="0"/>
        <u val="none"/>
        <vertAlign val="baseline"/>
        <sz val="11"/>
        <color theme="1"/>
        <name val="Times New Roman"/>
        <family val="1"/>
        <scheme val="none"/>
      </font>
      <numFmt numFmtId="4" formatCode="#,##0.00"/>
    </dxf>
    <dxf>
      <font>
        <strike val="0"/>
        <outline val="0"/>
        <shadow val="0"/>
        <u val="none"/>
        <vertAlign val="baseline"/>
        <sz val="11"/>
        <color theme="1"/>
        <name val="Times New Roman"/>
        <family val="1"/>
        <scheme val="none"/>
      </font>
      <numFmt numFmtId="4" formatCode="#,##0.00"/>
    </dxf>
    <dxf>
      <font>
        <strike val="0"/>
        <outline val="0"/>
        <shadow val="0"/>
        <u val="none"/>
        <vertAlign val="baseline"/>
        <sz val="11"/>
        <color theme="1"/>
        <name val="Times New Roman"/>
        <family val="1"/>
        <scheme val="none"/>
      </font>
      <numFmt numFmtId="4" formatCode="#,##0.00"/>
    </dxf>
    <dxf>
      <font>
        <strike val="0"/>
        <outline val="0"/>
        <shadow val="0"/>
        <u val="none"/>
        <vertAlign val="baseline"/>
        <sz val="11"/>
        <color theme="1"/>
        <name val="Times New Roman"/>
        <family val="1"/>
        <scheme val="none"/>
      </font>
      <numFmt numFmtId="4" formatCode="#,##0.00"/>
    </dxf>
    <dxf>
      <font>
        <strike val="0"/>
        <outline val="0"/>
        <shadow val="0"/>
        <u val="none"/>
        <vertAlign val="baseline"/>
        <sz val="11"/>
        <color theme="1"/>
        <name val="Times New Roman"/>
        <family val="1"/>
        <scheme val="none"/>
      </font>
      <numFmt numFmtId="4" formatCode="#,##0.00"/>
    </dxf>
    <dxf>
      <font>
        <strike val="0"/>
        <outline val="0"/>
        <shadow val="0"/>
        <u val="none"/>
        <vertAlign val="baseline"/>
        <sz val="11"/>
        <color theme="1"/>
        <name val="Times New Roman"/>
        <family val="1"/>
        <scheme val="none"/>
      </font>
      <numFmt numFmtId="4" formatCode="#,##0.00"/>
    </dxf>
    <dxf>
      <font>
        <strike val="0"/>
        <outline val="0"/>
        <shadow val="0"/>
        <u val="none"/>
        <vertAlign val="baseline"/>
        <sz val="11"/>
        <color theme="1"/>
        <name val="Times New Roman"/>
        <family val="1"/>
        <scheme val="none"/>
      </font>
      <numFmt numFmtId="4" formatCode="#,##0.00"/>
    </dxf>
    <dxf>
      <font>
        <strike val="0"/>
        <outline val="0"/>
        <shadow val="0"/>
        <u val="none"/>
        <vertAlign val="baseline"/>
        <sz val="11"/>
        <color theme="1"/>
        <name val="Times New Roman"/>
        <family val="1"/>
        <scheme val="none"/>
      </font>
      <numFmt numFmtId="4" formatCode="#,##0.00"/>
    </dxf>
    <dxf>
      <font>
        <strike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numFmt numFmtId="4" formatCode="#,##0.00"/>
    </dxf>
    <dxf>
      <font>
        <b val="0"/>
        <i val="0"/>
        <strike val="0"/>
        <condense val="0"/>
        <extend val="0"/>
        <outline val="0"/>
        <shadow val="0"/>
        <u val="none"/>
        <vertAlign val="baseline"/>
        <sz val="11"/>
        <color theme="1"/>
        <name val="Times New Roman"/>
        <family val="1"/>
        <scheme val="none"/>
      </font>
      <numFmt numFmtId="4" formatCode="#,##0.00"/>
    </dxf>
    <dxf>
      <font>
        <b val="0"/>
        <i val="0"/>
        <strike val="0"/>
        <condense val="0"/>
        <extend val="0"/>
        <outline val="0"/>
        <shadow val="0"/>
        <u val="none"/>
        <vertAlign val="baseline"/>
        <sz val="11"/>
        <color theme="1"/>
        <name val="Times New Roman"/>
        <family val="1"/>
        <scheme val="none"/>
      </font>
      <numFmt numFmtId="4" formatCode="#,##0.00"/>
    </dxf>
    <dxf>
      <font>
        <b val="0"/>
        <i val="0"/>
        <strike val="0"/>
        <condense val="0"/>
        <extend val="0"/>
        <outline val="0"/>
        <shadow val="0"/>
        <u val="none"/>
        <vertAlign val="baseline"/>
        <sz val="11"/>
        <color theme="1"/>
        <name val="Times New Roman"/>
        <family val="1"/>
        <scheme val="none"/>
      </font>
      <numFmt numFmtId="4" formatCode="#,##0.00"/>
    </dxf>
    <dxf>
      <font>
        <b val="0"/>
        <i val="0"/>
        <strike val="0"/>
        <condense val="0"/>
        <extend val="0"/>
        <outline val="0"/>
        <shadow val="0"/>
        <u val="none"/>
        <vertAlign val="baseline"/>
        <sz val="11"/>
        <color theme="1"/>
        <name val="Times New Roman"/>
        <family val="1"/>
        <scheme val="none"/>
      </font>
      <numFmt numFmtId="4" formatCode="#,##0.00"/>
    </dxf>
    <dxf>
      <font>
        <b val="0"/>
        <i val="0"/>
        <strike val="0"/>
        <condense val="0"/>
        <extend val="0"/>
        <outline val="0"/>
        <shadow val="0"/>
        <u val="none"/>
        <vertAlign val="baseline"/>
        <sz val="11"/>
        <color theme="1"/>
        <name val="Times New Roman"/>
        <family val="1"/>
        <scheme val="none"/>
      </font>
      <numFmt numFmtId="4" formatCode="#,##0.00"/>
    </dxf>
    <dxf>
      <font>
        <b val="0"/>
        <i val="0"/>
        <strike val="0"/>
        <condense val="0"/>
        <extend val="0"/>
        <outline val="0"/>
        <shadow val="0"/>
        <u val="none"/>
        <vertAlign val="baseline"/>
        <sz val="11"/>
        <color theme="1"/>
        <name val="Times New Roman"/>
        <family val="1"/>
        <scheme val="none"/>
      </font>
      <numFmt numFmtId="4" formatCode="#,##0.00"/>
    </dxf>
    <dxf>
      <font>
        <b val="0"/>
        <i val="0"/>
        <strike val="0"/>
        <condense val="0"/>
        <extend val="0"/>
        <outline val="0"/>
        <shadow val="0"/>
        <u val="none"/>
        <vertAlign val="baseline"/>
        <sz val="11"/>
        <color theme="1"/>
        <name val="Times New Roman"/>
        <family val="1"/>
        <scheme val="none"/>
      </font>
      <numFmt numFmtId="4" formatCode="#,##0.00"/>
    </dxf>
    <dxf>
      <font>
        <b/>
        <i val="0"/>
        <strike val="0"/>
        <condense val="0"/>
        <extend val="0"/>
        <outline val="0"/>
        <shadow val="0"/>
        <u val="none"/>
        <vertAlign val="baseline"/>
        <sz val="11"/>
        <color theme="1"/>
        <name val="Times New Roman"/>
        <family val="1"/>
        <scheme val="none"/>
      </font>
      <numFmt numFmtId="4" formatCode="#,##0.00"/>
    </dxf>
    <dxf>
      <font>
        <b/>
        <i val="0"/>
        <strike val="0"/>
        <condense val="0"/>
        <extend val="0"/>
        <outline val="0"/>
        <shadow val="0"/>
        <u val="none"/>
        <vertAlign val="baseline"/>
        <sz val="11"/>
        <color theme="1"/>
        <name val="Times New Roman"/>
        <family val="1"/>
        <scheme val="none"/>
      </font>
      <numFmt numFmtId="4" formatCode="#,##0.00"/>
    </dxf>
    <dxf>
      <numFmt numFmtId="4" formatCode="#,##0.00"/>
    </dxf>
    <dxf>
      <font>
        <b val="0"/>
        <i val="0"/>
        <strike val="0"/>
        <condense val="0"/>
        <extend val="0"/>
        <outline val="0"/>
        <shadow val="0"/>
        <u val="none"/>
        <vertAlign val="baseline"/>
        <sz val="11"/>
        <color theme="1"/>
        <name val="Times New Roman"/>
        <family val="1"/>
        <scheme val="none"/>
      </font>
      <numFmt numFmtId="4" formatCode="#,##0.00"/>
    </dxf>
    <dxf>
      <font>
        <b val="0"/>
        <i val="0"/>
        <strike val="0"/>
        <condense val="0"/>
        <extend val="0"/>
        <outline val="0"/>
        <shadow val="0"/>
        <u val="none"/>
        <vertAlign val="baseline"/>
        <sz val="11"/>
        <color theme="1"/>
        <name val="Times New Roman"/>
        <family val="1"/>
        <scheme val="none"/>
      </font>
      <numFmt numFmtId="4" formatCode="#,##0.00"/>
    </dxf>
    <dxf>
      <numFmt numFmtId="4" formatCode="#,##0.00"/>
    </dxf>
    <dxf>
      <numFmt numFmtId="4" formatCode="#,##0.00"/>
    </dxf>
    <dxf>
      <numFmt numFmtId="4" formatCode="#,##0.00"/>
    </dxf>
    <dxf>
      <numFmt numFmtId="4" formatCode="#,##0.00"/>
    </dxf>
    <dxf>
      <font>
        <b/>
        <i val="0"/>
        <strike val="0"/>
        <condense val="0"/>
        <extend val="0"/>
        <outline val="0"/>
        <shadow val="0"/>
        <u val="none"/>
        <vertAlign val="baseline"/>
        <sz val="11"/>
        <color theme="1"/>
        <name val="Calibri"/>
        <family val="2"/>
        <scheme val="minor"/>
      </font>
      <numFmt numFmtId="4" formatCode="#,##0.00"/>
    </dxf>
    <dxf>
      <border outline="0">
        <top style="thin">
          <color indexed="64"/>
        </top>
      </border>
    </dxf>
    <dxf>
      <numFmt numFmtId="4" formatCode="#,##0.00"/>
    </dxf>
    <dxf>
      <font>
        <b val="0"/>
        <i val="0"/>
        <strike val="0"/>
        <condense val="0"/>
        <extend val="0"/>
        <outline val="0"/>
        <shadow val="0"/>
        <u val="none"/>
        <vertAlign val="baseline"/>
        <sz val="11"/>
        <color theme="1"/>
        <name val="Times New Roman"/>
        <family val="1"/>
        <scheme val="none"/>
      </font>
      <numFmt numFmtId="4" formatCode="#,##0.00"/>
      <fill>
        <patternFill patternType="solid">
          <fgColor indexed="64"/>
          <bgColor theme="2"/>
        </patternFill>
      </fill>
    </dxf>
    <dxf>
      <font>
        <strike val="0"/>
        <outline val="0"/>
        <shadow val="0"/>
        <u val="none"/>
        <vertAlign val="baseline"/>
        <sz val="11"/>
        <color theme="1"/>
        <name val="Times New Roman"/>
        <family val="1"/>
        <scheme val="none"/>
      </font>
      <numFmt numFmtId="4" formatCode="#,##0.00"/>
    </dxf>
    <dxf>
      <font>
        <strike val="0"/>
        <outline val="0"/>
        <shadow val="0"/>
        <u val="none"/>
        <vertAlign val="baseline"/>
        <sz val="11"/>
        <color theme="1"/>
        <name val="Times New Roman"/>
        <family val="1"/>
        <scheme val="none"/>
      </font>
      <numFmt numFmtId="4" formatCode="#,##0.00"/>
    </dxf>
    <dxf>
      <font>
        <strike val="0"/>
        <outline val="0"/>
        <shadow val="0"/>
        <u val="none"/>
        <vertAlign val="baseline"/>
        <sz val="11"/>
        <color theme="1"/>
        <name val="Times New Roman"/>
        <family val="1"/>
        <scheme val="none"/>
      </font>
      <numFmt numFmtId="4" formatCode="#,##0.00"/>
    </dxf>
    <dxf>
      <font>
        <strike val="0"/>
        <outline val="0"/>
        <shadow val="0"/>
        <u val="none"/>
        <vertAlign val="baseline"/>
        <sz val="11"/>
        <color theme="1"/>
        <name val="Times New Roman"/>
        <family val="1"/>
        <scheme val="none"/>
      </font>
      <numFmt numFmtId="4" formatCode="#,##0.00"/>
    </dxf>
    <dxf>
      <font>
        <strike val="0"/>
        <outline val="0"/>
        <shadow val="0"/>
        <u val="none"/>
        <vertAlign val="baseline"/>
        <sz val="11"/>
        <color theme="1"/>
        <name val="Times New Roman"/>
        <family val="1"/>
        <scheme val="none"/>
      </font>
      <numFmt numFmtId="4" formatCode="#,##0.00"/>
    </dxf>
    <dxf>
      <font>
        <strike val="0"/>
        <outline val="0"/>
        <shadow val="0"/>
        <u val="none"/>
        <vertAlign val="baseline"/>
        <sz val="11"/>
        <color theme="1"/>
        <name val="Times New Roman"/>
        <family val="1"/>
        <scheme val="none"/>
      </font>
      <numFmt numFmtId="4" formatCode="#,##0.00"/>
    </dxf>
    <dxf>
      <font>
        <strike val="0"/>
        <outline val="0"/>
        <shadow val="0"/>
        <u val="none"/>
        <vertAlign val="baseline"/>
        <sz val="11"/>
        <color theme="1"/>
        <name val="Times New Roman"/>
        <family val="1"/>
        <scheme val="none"/>
      </font>
      <numFmt numFmtId="4" formatCode="#,##0.00"/>
    </dxf>
    <dxf>
      <font>
        <strike val="0"/>
        <outline val="0"/>
        <shadow val="0"/>
        <u val="none"/>
        <vertAlign val="baseline"/>
        <sz val="11"/>
        <color theme="1"/>
        <name val="Times New Roman"/>
        <family val="1"/>
        <scheme val="none"/>
      </font>
      <numFmt numFmtId="4" formatCode="#,##0.00"/>
    </dxf>
    <dxf>
      <numFmt numFmtId="4" formatCode="#,##0.00"/>
    </dxf>
    <dxf>
      <font>
        <strike val="0"/>
        <outline val="0"/>
        <shadow val="0"/>
        <u val="none"/>
        <vertAlign val="baseline"/>
        <color theme="1"/>
        <name val="Times New Roman"/>
        <family val="1"/>
        <scheme val="none"/>
      </font>
      <numFmt numFmtId="4" formatCode="#,##0.00"/>
    </dxf>
    <dxf>
      <font>
        <strike val="0"/>
        <outline val="0"/>
        <shadow val="0"/>
        <u val="none"/>
        <vertAlign val="baseline"/>
        <color theme="1"/>
        <name val="Times New Roman"/>
        <family val="1"/>
        <scheme val="none"/>
      </font>
      <numFmt numFmtId="4" formatCode="#,##0.00"/>
    </dxf>
    <dxf>
      <font>
        <strike val="0"/>
        <outline val="0"/>
        <shadow val="0"/>
        <u val="none"/>
        <vertAlign val="baseline"/>
        <color theme="1"/>
        <name val="Times New Roman"/>
        <family val="1"/>
        <scheme val="none"/>
      </font>
      <numFmt numFmtId="4" formatCode="#,##0.00"/>
    </dxf>
    <dxf>
      <font>
        <strike val="0"/>
        <outline val="0"/>
        <shadow val="0"/>
        <u val="none"/>
        <vertAlign val="baseline"/>
        <color theme="1"/>
        <name val="Times New Roman"/>
        <family val="1"/>
        <scheme val="none"/>
      </font>
      <numFmt numFmtId="4" formatCode="#,##0.00"/>
    </dxf>
    <dxf>
      <font>
        <strike val="0"/>
        <outline val="0"/>
        <shadow val="0"/>
        <u val="none"/>
        <vertAlign val="baseline"/>
        <color theme="1"/>
        <name val="Times New Roman"/>
        <family val="1"/>
        <scheme val="none"/>
      </font>
      <numFmt numFmtId="4" formatCode="#,##0.00"/>
    </dxf>
    <dxf>
      <font>
        <strike val="0"/>
        <outline val="0"/>
        <shadow val="0"/>
        <u val="none"/>
        <vertAlign val="baseline"/>
        <color theme="1"/>
        <name val="Times New Roman"/>
        <family val="1"/>
        <scheme val="none"/>
      </font>
      <numFmt numFmtId="4" formatCode="#,##0.00"/>
    </dxf>
    <dxf>
      <font>
        <strike val="0"/>
        <outline val="0"/>
        <shadow val="0"/>
        <u val="none"/>
        <vertAlign val="baseline"/>
        <color theme="1"/>
        <name val="Times New Roman"/>
        <family val="1"/>
        <scheme val="none"/>
      </font>
      <numFmt numFmtId="4" formatCode="#,##0.00"/>
    </dxf>
    <dxf>
      <font>
        <strike val="0"/>
        <outline val="0"/>
        <shadow val="0"/>
        <u val="none"/>
        <vertAlign val="baseline"/>
        <color theme="1"/>
        <name val="Times New Roman"/>
        <family val="1"/>
        <scheme val="none"/>
      </font>
      <numFmt numFmtId="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SIDA%20BUDGET-2015-2020-SAFINA%2016-4-2015/Multi%20Year%20Budget%20-RCS-2015-2020%20%20%2016.04.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Multi Year Overall Budget 2 "/>
      <sheetName val="1. Multi Year Overall Budget 1"/>
      <sheetName val="3.RCS Total"/>
      <sheetName val="4. Multi Year RCS. Components"/>
    </sheetNames>
    <sheetDataSet>
      <sheetData sheetId="0" refreshError="1"/>
      <sheetData sheetId="1" refreshError="1"/>
      <sheetData sheetId="2" refreshError="1"/>
      <sheetData sheetId="3" refreshError="1">
        <row r="18">
          <cell r="D18">
            <v>75624</v>
          </cell>
        </row>
        <row r="30">
          <cell r="H30">
            <v>0</v>
          </cell>
        </row>
        <row r="61">
          <cell r="H61">
            <v>0</v>
          </cell>
        </row>
        <row r="73">
          <cell r="H73">
            <v>0</v>
          </cell>
        </row>
        <row r="77">
          <cell r="H77">
            <v>0</v>
          </cell>
        </row>
        <row r="123">
          <cell r="H123">
            <v>0</v>
          </cell>
        </row>
        <row r="194">
          <cell r="H194">
            <v>0</v>
          </cell>
        </row>
        <row r="258">
          <cell r="H258">
            <v>0</v>
          </cell>
        </row>
        <row r="326">
          <cell r="H326">
            <v>0</v>
          </cell>
        </row>
        <row r="396">
          <cell r="H396">
            <v>0</v>
          </cell>
        </row>
        <row r="459">
          <cell r="H459">
            <v>0</v>
          </cell>
        </row>
        <row r="520">
          <cell r="H520">
            <v>0</v>
          </cell>
        </row>
        <row r="547">
          <cell r="H547">
            <v>0</v>
          </cell>
        </row>
        <row r="551">
          <cell r="H551">
            <v>0</v>
          </cell>
        </row>
        <row r="555">
          <cell r="H555">
            <v>0</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4A1DCF9-8488-47CC-8D8C-77A3E8D40D00}" name="Table8" displayName="Table8" ref="A1:F35" totalsRowShown="0" headerRowDxfId="55" dataDxfId="54">
  <autoFilter ref="A1:F35" xr:uid="{9065FF20-1F37-4EB3-A159-642D58923065}"/>
  <tableColumns count="6">
    <tableColumn id="1" xr3:uid="{C88C0D91-3D19-4095-A3A6-2B248801D417}" name="Column1" dataDxfId="53"/>
    <tableColumn id="2" xr3:uid="{7AEDE236-E25F-4E06-9A61-8D0E8BA10E3B}" name="Column2" dataDxfId="52"/>
    <tableColumn id="3" xr3:uid="{1F0208F4-90E5-495D-B185-19F163A23604}" name="Column3" dataDxfId="51"/>
    <tableColumn id="4" xr3:uid="{AC224A92-6E81-491B-B112-861C6035B1F2}" name="Column4" dataDxfId="50"/>
    <tableColumn id="5" xr3:uid="{8BE70535-62F9-4A3F-A7F9-3C05EF05DF99}" name="Column5" dataDxfId="49"/>
    <tableColumn id="6" xr3:uid="{22049231-F6A3-410B-BE30-CDA1E3457615}" name="Column6" dataDxfId="48"/>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0E487A6-94A2-4E06-A356-ABD7BE0468B8}" name="Table6" displayName="Table6" ref="A1:G26" totalsRowShown="0" headerRowDxfId="47" dataDxfId="46">
  <autoFilter ref="A1:G26" xr:uid="{C836BE6F-D855-4600-8CF2-E1DD2AF18C02}"/>
  <tableColumns count="7">
    <tableColumn id="1" xr3:uid="{EA8C3D7C-79DA-4E43-9471-8F2AC6CB97BA}" name="Column1" dataDxfId="45"/>
    <tableColumn id="2" xr3:uid="{A1D8CC25-898A-42C2-96B9-E01B1FE2FEF4}" name="Column2" dataDxfId="44"/>
    <tableColumn id="3" xr3:uid="{117C36EB-FED0-4F08-966A-20D5E47C8C87}" name="Column3" dataDxfId="43"/>
    <tableColumn id="4" xr3:uid="{CED49ACE-DCD4-4D6B-93C7-5300A60453D2}" name="Column4" dataDxfId="42"/>
    <tableColumn id="5" xr3:uid="{09C7E6EA-14EA-4021-B924-66F56978B77A}" name="Column5" dataDxfId="41"/>
    <tableColumn id="6" xr3:uid="{86DBEC88-9F87-43A8-BC80-9290F5BE97D0}" name="Column6" dataDxfId="40"/>
    <tableColumn id="7" xr3:uid="{38F5CC61-2742-44AE-8F04-9B6D3212CD63}" name="Column7" dataDxfId="3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4FC4682-5FBF-4927-884E-CBB5E5B08FCB}" name="Table1" displayName="Table1" ref="A1:F46" totalsRowShown="0" headerRowDxfId="38" dataDxfId="37" tableBorderDxfId="36">
  <autoFilter ref="A1:F46" xr:uid="{841BD722-4E80-4099-8507-822C9D2D4E49}"/>
  <tableColumns count="6">
    <tableColumn id="1" xr3:uid="{3E8B7DD3-050A-45D8-A776-766BE205C877}" name="Column1" dataDxfId="35"/>
    <tableColumn id="2" xr3:uid="{41694A90-EA35-4204-BFBE-50738576B1FF}" name="Column2" dataDxfId="34"/>
    <tableColumn id="3" xr3:uid="{47AD88CA-C237-4E87-B217-C8245731DC82}" name="Column3" dataDxfId="33"/>
    <tableColumn id="4" xr3:uid="{05EBE394-89D6-4EDA-A6BB-D277717A1A9B}" name="Column4" dataDxfId="32"/>
    <tableColumn id="5" xr3:uid="{A49307DB-C53E-4D68-8ACF-A8A2BA26F182}" name="Column5" dataDxfId="31"/>
    <tableColumn id="6" xr3:uid="{3229B59C-8455-40BC-B261-0A172BE6C8E9}" name="Column6" dataDxfId="0"/>
  </tableColumns>
  <tableStyleInfo name="TableStyleMedium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030DFCA-65F3-4BA5-8DC0-311E52776EE4}" name="Table2" displayName="Table2" ref="A1:E46" totalsRowCount="1" headerRowDxfId="30" dataDxfId="29" totalsRowDxfId="28">
  <autoFilter ref="A1:E45" xr:uid="{94FB0705-D014-460A-A62A-64BC8663546C}"/>
  <tableColumns count="5">
    <tableColumn id="1" xr3:uid="{E760FE82-BCBD-46A4-B8E2-9E9BF66C2CBB}" name="Column1" dataDxfId="27" totalsRowDxfId="26"/>
    <tableColumn id="2" xr3:uid="{9EDACC22-F3D9-4693-BF4B-F7E3A22F9BCD}" name="Budget Summary, 2020-2021" dataDxfId="25" totalsRowDxfId="24"/>
    <tableColumn id="3" xr3:uid="{F9E5A0B0-07B6-4B57-AC62-5BB54CAC24D8}" name="Column2" dataDxfId="23" totalsRowDxfId="22"/>
    <tableColumn id="4" xr3:uid="{9272ABD7-33C9-4207-A02C-010F5F78FD93}" name="Column3" dataDxfId="21" totalsRowDxfId="20"/>
    <tableColumn id="5" xr3:uid="{7BA20136-DB0F-4BD8-B4B0-3483472D3D0D}" name="Column4" dataDxfId="19" totalsRowDxfId="18"/>
  </tableColumns>
  <tableStyleInfo name="TableStyleMedium2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48E0B3F-23CF-48D5-BC7A-1343496A6E8C}" name="Table3" displayName="Table3" ref="A1:G41" totalsRowShown="0" headerRowDxfId="17" dataDxfId="16">
  <autoFilter ref="A1:G41" xr:uid="{349FC554-C988-4EF2-949E-95EC37167C9B}"/>
  <tableColumns count="7">
    <tableColumn id="1" xr3:uid="{D3A7D9D8-E4F0-4947-9053-85B7F33E681A}" name="Column1" dataDxfId="15"/>
    <tableColumn id="2" xr3:uid="{B579C145-2BE3-499D-A5AF-2110E025478B}" name="Column2" dataDxfId="14"/>
    <tableColumn id="3" xr3:uid="{C74F4FD5-5525-4AA2-932A-F226AD3BADA9}" name="Column3" dataDxfId="13"/>
    <tableColumn id="4" xr3:uid="{D3103D03-DBEB-4C61-9F86-A4B41DF4070B}" name="Column4" dataDxfId="12"/>
    <tableColumn id="5" xr3:uid="{0E707A67-4A75-4717-8126-94342FEB5C33}" name="Column5" dataDxfId="11"/>
    <tableColumn id="6" xr3:uid="{D5F36038-8558-4A97-B886-A26F3A20939F}" name="Column6" dataDxfId="10"/>
    <tableColumn id="7" xr3:uid="{BBB01A66-B48D-4E00-9DB8-AE0A62A6BE8F}" name="Column7" dataDxfId="9"/>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FFACFB8-C115-4A84-93D1-C9E610558B77}" name="Table4" displayName="Table4" ref="A1:D38" totalsRowShown="0" headerRowDxfId="8" dataDxfId="7">
  <autoFilter ref="A1:D38" xr:uid="{0BB598AC-CA39-4BC3-A05F-FB57603DF1BC}"/>
  <tableColumns count="4">
    <tableColumn id="1" xr3:uid="{7A44C7FC-97EC-414E-BD4D-0810F049CD20}" name="Column1" dataDxfId="6"/>
    <tableColumn id="2" xr3:uid="{A9C34984-16BA-4649-88FC-F080ED0A0591}" name="Column2" dataDxfId="5"/>
    <tableColumn id="3" xr3:uid="{DF7A7AEA-4736-4935-9BD0-B01F1449F8BA}" name="Column3" dataDxfId="4"/>
    <tableColumn id="4" xr3:uid="{F6E0BB06-3DD6-4C97-8091-F1CC12B54030}" name="Column4" dataDxfId="3"/>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97002AC-3AC1-422F-88BE-1F607BFB6564}" name="Table5" displayName="Table5" ref="A39:D43" totalsRowShown="0">
  <autoFilter ref="A39:D43" xr:uid="{5BD4C3BC-EAB5-4712-9590-6A79B0479E07}"/>
  <tableColumns count="4">
    <tableColumn id="1" xr3:uid="{486D0176-B4BC-4014-A199-A44347157869}" name="Column1" dataDxfId="2"/>
    <tableColumn id="2" xr3:uid="{CCAAB001-95A9-4B2E-A908-FC9554A536B0}" name="Column2" dataDxfId="1"/>
    <tableColumn id="3" xr3:uid="{F509D672-8143-46C0-BC59-E06C422EF2DD}" name="Column3"/>
    <tableColumn id="4" xr3:uid="{9B37C79A-7141-477A-AC0D-EE55677D93FB}" name="Column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table" Target="../tables/table4.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5.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table" Target="../tables/table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8C517-38EB-4796-86B0-D36906462FB5}">
  <dimension ref="A1:G48"/>
  <sheetViews>
    <sheetView topLeftCell="D34" workbookViewId="0">
      <selection activeCell="A46" sqref="A46:XFD46"/>
    </sheetView>
  </sheetViews>
  <sheetFormatPr defaultRowHeight="13.8" x14ac:dyDescent="0.25"/>
  <cols>
    <col min="1" max="1" width="25.6640625" style="28" customWidth="1"/>
    <col min="2" max="4" width="21.77734375" style="28" customWidth="1"/>
    <col min="5" max="5" width="18.33203125" style="28" customWidth="1"/>
    <col min="6" max="7" width="23.109375" style="28" customWidth="1"/>
    <col min="8" max="8" width="11.44140625" style="28" bestFit="1" customWidth="1"/>
    <col min="9" max="9" width="10.77734375" style="28" bestFit="1" customWidth="1"/>
    <col min="10" max="16384" width="8.88671875" style="28"/>
  </cols>
  <sheetData>
    <row r="1" spans="1:7" ht="15.6" x14ac:dyDescent="0.3">
      <c r="A1" s="4" t="s">
        <v>0</v>
      </c>
      <c r="B1" s="4"/>
      <c r="C1" s="4"/>
      <c r="D1" s="4"/>
      <c r="E1" s="4"/>
      <c r="G1" s="4"/>
    </row>
    <row r="2" spans="1:7" ht="15.6" x14ac:dyDescent="0.3">
      <c r="A2" s="4" t="s">
        <v>1</v>
      </c>
      <c r="B2" s="4"/>
      <c r="C2" s="4"/>
      <c r="D2" s="4"/>
      <c r="E2" s="4"/>
      <c r="G2" s="4"/>
    </row>
    <row r="3" spans="1:7" ht="15.6" x14ac:dyDescent="0.3">
      <c r="A3" s="4" t="s">
        <v>2</v>
      </c>
      <c r="B3" s="4"/>
      <c r="C3" s="4"/>
      <c r="D3" s="4"/>
      <c r="E3" s="4"/>
      <c r="G3" s="4"/>
    </row>
    <row r="4" spans="1:7" ht="15.6" x14ac:dyDescent="0.3">
      <c r="A4" s="6"/>
      <c r="B4" s="7"/>
      <c r="C4" s="7"/>
      <c r="D4" s="7"/>
      <c r="E4" s="7"/>
      <c r="G4" s="7"/>
    </row>
    <row r="5" spans="1:7" ht="40.200000000000003" customHeight="1" x14ac:dyDescent="0.3">
      <c r="A5" s="8" t="s">
        <v>3</v>
      </c>
      <c r="B5" s="9" t="s">
        <v>4</v>
      </c>
      <c r="C5" s="9" t="s">
        <v>23</v>
      </c>
      <c r="D5" s="9" t="s">
        <v>6</v>
      </c>
      <c r="E5" s="9" t="s">
        <v>24</v>
      </c>
      <c r="F5" s="9" t="s">
        <v>74</v>
      </c>
      <c r="G5" s="9" t="s">
        <v>7</v>
      </c>
    </row>
    <row r="6" spans="1:7" ht="15.6" x14ac:dyDescent="0.3">
      <c r="A6" s="10" t="s">
        <v>8</v>
      </c>
      <c r="B6" s="11" t="s">
        <v>10</v>
      </c>
      <c r="C6" s="11" t="s">
        <v>10</v>
      </c>
      <c r="D6" s="11" t="s">
        <v>10</v>
      </c>
      <c r="E6" s="11" t="s">
        <v>10</v>
      </c>
      <c r="F6" s="11" t="s">
        <v>10</v>
      </c>
      <c r="G6" s="11" t="s">
        <v>10</v>
      </c>
    </row>
    <row r="7" spans="1:7" ht="15.6" customHeight="1" x14ac:dyDescent="0.3">
      <c r="A7" s="12" t="s">
        <v>12</v>
      </c>
      <c r="B7" s="27">
        <v>880567.28666666674</v>
      </c>
      <c r="C7" s="13">
        <v>2274725</v>
      </c>
      <c r="D7" s="13">
        <v>3171537.2767500002</v>
      </c>
      <c r="E7" s="27">
        <v>3367453.4999999995</v>
      </c>
      <c r="F7" s="28">
        <f>SUM(D7-E7)</f>
        <v>-195916.22324999934</v>
      </c>
      <c r="G7" s="27">
        <v>3367453.4999999995</v>
      </c>
    </row>
    <row r="8" spans="1:7" ht="15.6" x14ac:dyDescent="0.3">
      <c r="A8" s="14" t="s">
        <v>13</v>
      </c>
      <c r="B8" s="13">
        <v>526357.8967083334</v>
      </c>
      <c r="C8" s="15">
        <v>1437898</v>
      </c>
      <c r="D8" s="15">
        <v>1964255.8967083329</v>
      </c>
      <c r="E8" s="13">
        <v>1660934.2069565216</v>
      </c>
      <c r="F8" s="28">
        <f t="shared" ref="F8:F15" si="0">SUM(D8-E8)</f>
        <v>303321.68975181133</v>
      </c>
      <c r="G8" s="13">
        <v>1660934.2069565216</v>
      </c>
    </row>
    <row r="9" spans="1:7" ht="15.6" customHeight="1" x14ac:dyDescent="0.3">
      <c r="A9" s="16" t="s">
        <v>14</v>
      </c>
      <c r="B9" s="15">
        <v>792056</v>
      </c>
      <c r="C9" s="17">
        <v>551100</v>
      </c>
      <c r="D9" s="17">
        <v>1343155.6030833332</v>
      </c>
      <c r="E9" s="15">
        <v>1006020</v>
      </c>
      <c r="F9" s="28">
        <f t="shared" si="0"/>
        <v>337135.60308333323</v>
      </c>
      <c r="G9" s="17">
        <v>1006020</v>
      </c>
    </row>
    <row r="10" spans="1:7" ht="15.6" customHeight="1" x14ac:dyDescent="0.3">
      <c r="A10" s="16" t="s">
        <v>15</v>
      </c>
      <c r="B10" s="17">
        <v>111142.09695833332</v>
      </c>
      <c r="C10" s="17">
        <v>47300</v>
      </c>
      <c r="D10" s="17">
        <v>158442.09695833334</v>
      </c>
      <c r="E10" s="17">
        <v>801509.37333333341</v>
      </c>
      <c r="F10" s="28">
        <f t="shared" si="0"/>
        <v>-643067.27637500013</v>
      </c>
      <c r="G10" s="17">
        <v>801509.37333333341</v>
      </c>
    </row>
    <row r="11" spans="1:7" ht="15.6" x14ac:dyDescent="0.3">
      <c r="A11" s="16" t="s">
        <v>16</v>
      </c>
      <c r="B11" s="17">
        <v>321196.37420833338</v>
      </c>
      <c r="C11" s="17">
        <v>274698</v>
      </c>
      <c r="D11" s="17">
        <v>595894.37420833332</v>
      </c>
      <c r="E11" s="17">
        <v>449956.33333333337</v>
      </c>
      <c r="F11" s="28">
        <f t="shared" si="0"/>
        <v>145938.04087499995</v>
      </c>
      <c r="G11" s="17">
        <v>449956.33333333337</v>
      </c>
    </row>
    <row r="12" spans="1:7" ht="15.6" x14ac:dyDescent="0.3">
      <c r="A12" s="16" t="s">
        <v>17</v>
      </c>
      <c r="B12" s="17">
        <v>2789883.5172083336</v>
      </c>
      <c r="C12" s="17">
        <v>1587000</v>
      </c>
      <c r="D12" s="17">
        <v>4376883.5172083322</v>
      </c>
      <c r="E12" s="17">
        <v>2144037</v>
      </c>
      <c r="F12" s="28">
        <f t="shared" si="0"/>
        <v>2232846.5172083322</v>
      </c>
      <c r="G12" s="17">
        <v>2144037</v>
      </c>
    </row>
    <row r="13" spans="1:7" ht="15.6" x14ac:dyDescent="0.3">
      <c r="A13" s="18" t="s">
        <v>18</v>
      </c>
      <c r="B13" s="17">
        <v>1939960.8705833335</v>
      </c>
      <c r="C13" s="28">
        <v>1814200</v>
      </c>
      <c r="D13" s="28">
        <v>3754160.8705833331</v>
      </c>
      <c r="E13" s="17">
        <v>2605669.56</v>
      </c>
      <c r="F13" s="28">
        <f t="shared" si="0"/>
        <v>1148491.310583333</v>
      </c>
      <c r="G13" s="17">
        <v>2605669.56</v>
      </c>
    </row>
    <row r="14" spans="1:7" ht="15.6" x14ac:dyDescent="0.3">
      <c r="A14" s="19" t="s">
        <v>19</v>
      </c>
      <c r="C14" s="20">
        <v>0</v>
      </c>
      <c r="E14" s="17">
        <v>1375000</v>
      </c>
      <c r="F14" s="28">
        <f t="shared" si="0"/>
        <v>-1375000</v>
      </c>
      <c r="G14" s="17">
        <v>1622708.1642717384</v>
      </c>
    </row>
    <row r="15" spans="1:7" ht="15.6" x14ac:dyDescent="0.3">
      <c r="A15" s="18" t="s">
        <v>20</v>
      </c>
      <c r="C15" s="20">
        <v>0</v>
      </c>
      <c r="E15" s="17">
        <v>1458333.3333333335</v>
      </c>
      <c r="F15" s="28">
        <f t="shared" si="0"/>
        <v>-1458333.3333333335</v>
      </c>
      <c r="G15" s="17">
        <v>1706041.4976050719</v>
      </c>
    </row>
    <row r="16" spans="1:7" s="31" customFormat="1" ht="15.6" x14ac:dyDescent="0.3">
      <c r="A16" s="21" t="s">
        <v>21</v>
      </c>
      <c r="B16" s="31">
        <v>7361163.6454166677</v>
      </c>
      <c r="C16" s="31">
        <v>7986921</v>
      </c>
      <c r="D16" s="31">
        <v>15364329.635499999</v>
      </c>
      <c r="E16" s="31">
        <f>SUM(E7:E15)</f>
        <v>14868913.306956522</v>
      </c>
      <c r="F16" s="31">
        <f>SUM(F7:F15)</f>
        <v>495416.32854347676</v>
      </c>
      <c r="G16" s="31">
        <f>SUM(G7:G15)</f>
        <v>15364329.635499999</v>
      </c>
    </row>
    <row r="18" spans="1:7" ht="46.2" customHeight="1" x14ac:dyDescent="0.25">
      <c r="A18" s="22" t="s">
        <v>30</v>
      </c>
      <c r="B18" s="9" t="s">
        <v>4</v>
      </c>
      <c r="C18" s="9" t="s">
        <v>23</v>
      </c>
      <c r="D18" s="9" t="s">
        <v>6</v>
      </c>
      <c r="E18" s="9" t="s">
        <v>24</v>
      </c>
      <c r="F18" s="9" t="s">
        <v>74</v>
      </c>
      <c r="G18" s="9" t="s">
        <v>7</v>
      </c>
    </row>
    <row r="19" spans="1:7" ht="25.2" customHeight="1" x14ac:dyDescent="0.3">
      <c r="A19" s="29"/>
      <c r="B19" s="11" t="s">
        <v>10</v>
      </c>
      <c r="C19" s="11" t="s">
        <v>10</v>
      </c>
      <c r="D19" s="11" t="s">
        <v>10</v>
      </c>
      <c r="E19" s="11" t="s">
        <v>10</v>
      </c>
      <c r="F19" s="11" t="s">
        <v>10</v>
      </c>
      <c r="G19" s="11" t="s">
        <v>10</v>
      </c>
    </row>
    <row r="20" spans="1:7" ht="36" customHeight="1" x14ac:dyDescent="0.3">
      <c r="A20" s="12" t="s">
        <v>12</v>
      </c>
      <c r="B20" s="28">
        <v>0</v>
      </c>
      <c r="C20" s="28">
        <v>260000</v>
      </c>
      <c r="D20" s="28">
        <v>260000</v>
      </c>
      <c r="E20" s="28">
        <v>0</v>
      </c>
      <c r="F20" s="28">
        <f>SUM(D20-E20)</f>
        <v>260000</v>
      </c>
      <c r="G20" s="28">
        <v>0</v>
      </c>
    </row>
    <row r="21" spans="1:7" ht="15.6" x14ac:dyDescent="0.3">
      <c r="A21" s="14" t="s">
        <v>13</v>
      </c>
      <c r="B21" s="28">
        <v>0</v>
      </c>
      <c r="C21" s="28">
        <v>750000</v>
      </c>
      <c r="D21" s="28">
        <v>750000</v>
      </c>
      <c r="E21" s="28">
        <v>1273750</v>
      </c>
      <c r="F21" s="28">
        <f t="shared" ref="F21:F26" si="1">SUM(D21-E21)</f>
        <v>-523750</v>
      </c>
      <c r="G21" s="28">
        <v>1273750</v>
      </c>
    </row>
    <row r="22" spans="1:7" ht="18.600000000000001" customHeight="1" x14ac:dyDescent="0.3">
      <c r="A22" s="16" t="s">
        <v>14</v>
      </c>
      <c r="B22" s="28">
        <v>0</v>
      </c>
      <c r="C22" s="28">
        <v>346600</v>
      </c>
      <c r="D22" s="28">
        <v>346600</v>
      </c>
      <c r="E22" s="28">
        <v>339100</v>
      </c>
      <c r="F22" s="28">
        <f t="shared" si="1"/>
        <v>7500</v>
      </c>
      <c r="G22" s="28">
        <v>339100</v>
      </c>
    </row>
    <row r="23" spans="1:7" ht="18.600000000000001" customHeight="1" x14ac:dyDescent="0.3">
      <c r="A23" s="16" t="s">
        <v>15</v>
      </c>
      <c r="B23" s="28">
        <v>0</v>
      </c>
      <c r="C23" s="28">
        <v>244300</v>
      </c>
      <c r="D23" s="28">
        <v>244300</v>
      </c>
      <c r="E23" s="28">
        <v>989792</v>
      </c>
      <c r="F23" s="28">
        <f t="shared" si="1"/>
        <v>-745492</v>
      </c>
      <c r="G23" s="28">
        <v>989792</v>
      </c>
    </row>
    <row r="24" spans="1:7" ht="15.6" x14ac:dyDescent="0.3">
      <c r="A24" s="16" t="s">
        <v>16</v>
      </c>
      <c r="B24" s="28">
        <v>0</v>
      </c>
      <c r="C24" s="28">
        <v>1016280</v>
      </c>
      <c r="D24" s="28">
        <v>1016280</v>
      </c>
      <c r="E24" s="28">
        <v>726414</v>
      </c>
      <c r="F24" s="28">
        <f t="shared" si="1"/>
        <v>289866</v>
      </c>
      <c r="G24" s="28">
        <v>726414</v>
      </c>
    </row>
    <row r="25" spans="1:7" ht="15.6" x14ac:dyDescent="0.3">
      <c r="A25" s="16" t="s">
        <v>17</v>
      </c>
      <c r="B25" s="28">
        <v>0</v>
      </c>
      <c r="C25" s="28">
        <v>550000</v>
      </c>
      <c r="D25" s="28">
        <v>550000</v>
      </c>
      <c r="E25" s="28">
        <v>550000</v>
      </c>
      <c r="F25" s="28">
        <f t="shared" si="1"/>
        <v>0</v>
      </c>
      <c r="G25" s="28">
        <v>550000</v>
      </c>
    </row>
    <row r="26" spans="1:7" ht="15.6" x14ac:dyDescent="0.3">
      <c r="A26" s="18" t="s">
        <v>18</v>
      </c>
      <c r="B26" s="28">
        <v>0</v>
      </c>
      <c r="C26" s="28">
        <v>1189500</v>
      </c>
      <c r="D26" s="28">
        <v>1189500</v>
      </c>
      <c r="E26" s="28">
        <v>0</v>
      </c>
      <c r="F26" s="28">
        <f t="shared" si="1"/>
        <v>1189500</v>
      </c>
      <c r="G26" s="28">
        <v>0</v>
      </c>
    </row>
    <row r="27" spans="1:7" s="31" customFormat="1" ht="15.6" x14ac:dyDescent="0.3">
      <c r="A27" s="21" t="s">
        <v>21</v>
      </c>
      <c r="B27" s="31">
        <v>0</v>
      </c>
      <c r="C27" s="31">
        <v>4356680</v>
      </c>
      <c r="D27" s="31">
        <v>4356680</v>
      </c>
      <c r="E27" s="31">
        <f>SUM(E20:E26)</f>
        <v>3879056</v>
      </c>
      <c r="F27" s="31">
        <f>SUM(F20:F26)</f>
        <v>477624</v>
      </c>
      <c r="G27" s="31">
        <f>SUM(G20:G26)</f>
        <v>3879056</v>
      </c>
    </row>
    <row r="29" spans="1:7" ht="46.8" x14ac:dyDescent="0.25">
      <c r="A29" s="23" t="s">
        <v>25</v>
      </c>
      <c r="B29" s="9" t="s">
        <v>4</v>
      </c>
      <c r="C29" s="9" t="s">
        <v>23</v>
      </c>
      <c r="D29" s="9" t="s">
        <v>6</v>
      </c>
      <c r="E29" s="9" t="s">
        <v>24</v>
      </c>
      <c r="F29" s="9" t="s">
        <v>74</v>
      </c>
      <c r="G29" s="9" t="s">
        <v>7</v>
      </c>
    </row>
    <row r="30" spans="1:7" ht="15.6" x14ac:dyDescent="0.3">
      <c r="A30" s="24"/>
      <c r="B30" s="11" t="s">
        <v>10</v>
      </c>
      <c r="C30" s="11" t="s">
        <v>10</v>
      </c>
      <c r="D30" s="11" t="s">
        <v>10</v>
      </c>
      <c r="E30" s="11" t="s">
        <v>10</v>
      </c>
      <c r="F30" s="11" t="s">
        <v>10</v>
      </c>
      <c r="G30" s="11" t="s">
        <v>10</v>
      </c>
    </row>
    <row r="31" spans="1:7" ht="40.200000000000003" customHeight="1" x14ac:dyDescent="0.3">
      <c r="A31" s="12" t="s">
        <v>26</v>
      </c>
      <c r="B31" s="28">
        <v>0</v>
      </c>
      <c r="C31" s="28">
        <v>0</v>
      </c>
      <c r="D31" s="28">
        <v>0</v>
      </c>
      <c r="E31" s="28">
        <v>0</v>
      </c>
      <c r="F31" s="28">
        <f>SUM(D31-E31)</f>
        <v>0</v>
      </c>
      <c r="G31" s="28">
        <v>0</v>
      </c>
    </row>
    <row r="32" spans="1:7" ht="15.6" x14ac:dyDescent="0.3">
      <c r="A32" s="14" t="s">
        <v>13</v>
      </c>
      <c r="B32" s="28">
        <v>0</v>
      </c>
      <c r="C32" s="28">
        <v>144000</v>
      </c>
      <c r="D32" s="28">
        <v>144000</v>
      </c>
      <c r="E32" s="28">
        <v>144000</v>
      </c>
      <c r="F32" s="28">
        <f t="shared" ref="F32:F38" si="2">SUM(D32-E32)</f>
        <v>0</v>
      </c>
      <c r="G32" s="28">
        <v>144000</v>
      </c>
    </row>
    <row r="33" spans="1:7" ht="15.6" customHeight="1" x14ac:dyDescent="0.3">
      <c r="A33" s="16" t="s">
        <v>14</v>
      </c>
      <c r="B33" s="28">
        <v>0</v>
      </c>
      <c r="C33" s="28">
        <v>128000</v>
      </c>
      <c r="D33" s="28">
        <v>128000</v>
      </c>
      <c r="E33" s="28">
        <v>128000</v>
      </c>
      <c r="F33" s="28">
        <f t="shared" si="2"/>
        <v>0</v>
      </c>
      <c r="G33" s="28">
        <v>128000</v>
      </c>
    </row>
    <row r="34" spans="1:7" ht="19.8" customHeight="1" x14ac:dyDescent="0.3">
      <c r="A34" s="16" t="s">
        <v>15</v>
      </c>
      <c r="B34" s="28">
        <v>0</v>
      </c>
      <c r="C34" s="28">
        <v>0</v>
      </c>
      <c r="D34" s="28">
        <v>0</v>
      </c>
      <c r="E34" s="28">
        <v>0</v>
      </c>
      <c r="F34" s="28">
        <f t="shared" si="2"/>
        <v>0</v>
      </c>
      <c r="G34" s="28">
        <v>0</v>
      </c>
    </row>
    <row r="35" spans="1:7" ht="15.6" x14ac:dyDescent="0.3">
      <c r="A35" s="16" t="s">
        <v>16</v>
      </c>
      <c r="B35" s="28">
        <v>0</v>
      </c>
      <c r="C35" s="28">
        <v>0</v>
      </c>
      <c r="D35" s="28">
        <v>0</v>
      </c>
      <c r="E35" s="28">
        <v>0</v>
      </c>
      <c r="F35" s="28">
        <f t="shared" si="2"/>
        <v>0</v>
      </c>
      <c r="G35" s="28">
        <v>0</v>
      </c>
    </row>
    <row r="36" spans="1:7" ht="15.6" x14ac:dyDescent="0.3">
      <c r="A36" s="16" t="s">
        <v>17</v>
      </c>
      <c r="B36" s="28">
        <v>0</v>
      </c>
      <c r="C36" s="28">
        <v>100000</v>
      </c>
      <c r="D36" s="28">
        <v>100000</v>
      </c>
      <c r="E36" s="28">
        <v>100000</v>
      </c>
      <c r="F36" s="28">
        <f t="shared" si="2"/>
        <v>0</v>
      </c>
      <c r="G36" s="28">
        <v>100000</v>
      </c>
    </row>
    <row r="37" spans="1:7" ht="15.6" x14ac:dyDescent="0.3">
      <c r="A37" s="18" t="s">
        <v>18</v>
      </c>
      <c r="B37" s="28">
        <v>0</v>
      </c>
      <c r="C37" s="28">
        <v>144000</v>
      </c>
      <c r="D37" s="28">
        <v>144000</v>
      </c>
      <c r="E37" s="28">
        <v>144000</v>
      </c>
      <c r="F37" s="28">
        <f t="shared" si="2"/>
        <v>0</v>
      </c>
      <c r="G37" s="28">
        <v>144000</v>
      </c>
    </row>
    <row r="38" spans="1:7" ht="15.6" x14ac:dyDescent="0.25">
      <c r="A38" s="25"/>
      <c r="F38" s="28">
        <f t="shared" si="2"/>
        <v>0</v>
      </c>
    </row>
    <row r="39" spans="1:7" s="31" customFormat="1" ht="15.6" x14ac:dyDescent="0.3">
      <c r="A39" s="21" t="s">
        <v>27</v>
      </c>
      <c r="B39" s="31">
        <v>0</v>
      </c>
      <c r="C39" s="31">
        <v>516000</v>
      </c>
      <c r="D39" s="31">
        <v>516000</v>
      </c>
      <c r="E39" s="31">
        <v>516000</v>
      </c>
      <c r="F39" s="31">
        <f>SUM(D39-E39)</f>
        <v>0</v>
      </c>
      <c r="G39" s="31">
        <v>516000</v>
      </c>
    </row>
    <row r="41" spans="1:7" ht="46.8" x14ac:dyDescent="0.25">
      <c r="A41" s="26" t="s">
        <v>29</v>
      </c>
      <c r="B41" s="9" t="s">
        <v>4</v>
      </c>
      <c r="C41" s="9" t="s">
        <v>23</v>
      </c>
      <c r="D41" s="9" t="s">
        <v>6</v>
      </c>
      <c r="E41" s="9" t="s">
        <v>24</v>
      </c>
      <c r="F41" s="9" t="s">
        <v>74</v>
      </c>
      <c r="G41" s="9" t="s">
        <v>7</v>
      </c>
    </row>
    <row r="42" spans="1:7" ht="15.6" x14ac:dyDescent="0.3">
      <c r="A42" s="30"/>
      <c r="B42" s="11" t="s">
        <v>10</v>
      </c>
      <c r="C42" s="11" t="s">
        <v>10</v>
      </c>
      <c r="D42" s="11" t="s">
        <v>10</v>
      </c>
      <c r="E42" s="11" t="s">
        <v>10</v>
      </c>
      <c r="F42" s="11" t="s">
        <v>10</v>
      </c>
      <c r="G42" s="11" t="s">
        <v>10</v>
      </c>
    </row>
    <row r="43" spans="1:7" s="31" customFormat="1" x14ac:dyDescent="0.25">
      <c r="A43" s="32"/>
      <c r="B43" s="31">
        <v>7361163.6454166677</v>
      </c>
      <c r="C43" s="31">
        <f>SUM(C16+C27+C39)</f>
        <v>12859601</v>
      </c>
      <c r="D43" s="31">
        <f>SUM(B43+C43)</f>
        <v>20220764.64541667</v>
      </c>
      <c r="E43" s="31">
        <f>SUBTOTAL(9,E39,E27,E16)</f>
        <v>19263969.306956522</v>
      </c>
      <c r="F43" s="31">
        <f>SUM(D43-E43)</f>
        <v>956795.33846014738</v>
      </c>
      <c r="G43" s="31">
        <f>SUBTOTAL(9,G39,G27,G16)</f>
        <v>19759385.635499999</v>
      </c>
    </row>
    <row r="45" spans="1:7" s="223" customFormat="1" ht="15.6" x14ac:dyDescent="0.3">
      <c r="A45" s="222" t="s">
        <v>368</v>
      </c>
    </row>
    <row r="46" spans="1:7" s="225" customFormat="1" ht="14.4" x14ac:dyDescent="0.3">
      <c r="A46" s="224" t="s">
        <v>369</v>
      </c>
    </row>
    <row r="47" spans="1:7" s="31" customFormat="1" x14ac:dyDescent="0.25">
      <c r="B47" s="31" t="s">
        <v>370</v>
      </c>
    </row>
    <row r="48" spans="1:7" x14ac:dyDescent="0.25">
      <c r="B48" s="31"/>
      <c r="C48" s="31"/>
      <c r="D48" s="31"/>
    </row>
  </sheetData>
  <mergeCells count="2">
    <mergeCell ref="A45:XFD45"/>
    <mergeCell ref="A46:XFD4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07762-3E98-4815-85E2-2B5357594533}">
  <dimension ref="A1:E45"/>
  <sheetViews>
    <sheetView topLeftCell="A16" workbookViewId="0">
      <selection activeCell="D18" sqref="D18"/>
    </sheetView>
  </sheetViews>
  <sheetFormatPr defaultRowHeight="13.8" x14ac:dyDescent="0.25"/>
  <cols>
    <col min="1" max="1" width="16.44140625" style="31" customWidth="1"/>
    <col min="2" max="2" width="27.6640625" style="28" customWidth="1"/>
    <col min="3" max="3" width="15.88671875" style="28" customWidth="1"/>
    <col min="4" max="4" width="14.44140625" style="28" customWidth="1"/>
    <col min="5" max="5" width="18" style="28" customWidth="1"/>
    <col min="6" max="16384" width="8.88671875" style="28"/>
  </cols>
  <sheetData>
    <row r="1" spans="1:5" x14ac:dyDescent="0.25">
      <c r="A1" s="31" t="s">
        <v>31</v>
      </c>
      <c r="B1" s="28" t="s">
        <v>250</v>
      </c>
      <c r="C1" s="28" t="s">
        <v>32</v>
      </c>
      <c r="D1" s="28" t="s">
        <v>33</v>
      </c>
      <c r="E1" s="28" t="s">
        <v>34</v>
      </c>
    </row>
    <row r="2" spans="1:5" ht="27.6" x14ac:dyDescent="0.25">
      <c r="A2" s="31" t="s">
        <v>3</v>
      </c>
      <c r="B2" s="153" t="s">
        <v>251</v>
      </c>
      <c r="C2" s="153" t="s">
        <v>252</v>
      </c>
      <c r="D2" s="153" t="s">
        <v>253</v>
      </c>
      <c r="E2" s="153" t="s">
        <v>254</v>
      </c>
    </row>
    <row r="3" spans="1:5" x14ac:dyDescent="0.25">
      <c r="B3" s="154" t="s">
        <v>10</v>
      </c>
      <c r="C3" s="155" t="s">
        <v>11</v>
      </c>
      <c r="D3" s="156" t="s">
        <v>10</v>
      </c>
      <c r="E3" s="156" t="s">
        <v>255</v>
      </c>
    </row>
    <row r="4" spans="1:5" x14ac:dyDescent="0.25">
      <c r="A4" s="28" t="s">
        <v>38</v>
      </c>
      <c r="B4" s="28">
        <v>0</v>
      </c>
      <c r="C4" s="28">
        <v>0</v>
      </c>
      <c r="D4" s="28">
        <v>0</v>
      </c>
      <c r="E4" s="28">
        <v>0</v>
      </c>
    </row>
    <row r="5" spans="1:5" x14ac:dyDescent="0.25">
      <c r="A5" s="28" t="s">
        <v>256</v>
      </c>
      <c r="B5" s="28">
        <v>0</v>
      </c>
      <c r="C5" s="28">
        <v>0</v>
      </c>
      <c r="D5" s="28">
        <v>0</v>
      </c>
      <c r="E5" s="28">
        <v>0</v>
      </c>
    </row>
    <row r="6" spans="1:5" x14ac:dyDescent="0.25">
      <c r="A6" s="28" t="s">
        <v>257</v>
      </c>
      <c r="B6" s="28">
        <v>9250</v>
      </c>
      <c r="C6" s="28">
        <v>9250</v>
      </c>
      <c r="D6" s="28">
        <v>18500</v>
      </c>
      <c r="E6" s="28">
        <v>4440000</v>
      </c>
    </row>
    <row r="7" spans="1:5" x14ac:dyDescent="0.25">
      <c r="A7" s="28" t="s">
        <v>41</v>
      </c>
      <c r="B7" s="28">
        <v>30000</v>
      </c>
      <c r="C7" s="28">
        <v>30000</v>
      </c>
      <c r="D7" s="28">
        <v>60000</v>
      </c>
      <c r="E7" s="28">
        <v>14400000</v>
      </c>
    </row>
    <row r="8" spans="1:5" x14ac:dyDescent="0.25">
      <c r="A8" s="28" t="s">
        <v>42</v>
      </c>
      <c r="B8" s="28">
        <v>55364.5</v>
      </c>
      <c r="C8" s="28">
        <v>55364.5</v>
      </c>
      <c r="D8" s="28">
        <v>110729</v>
      </c>
      <c r="E8" s="28">
        <v>26574960</v>
      </c>
    </row>
    <row r="9" spans="1:5" x14ac:dyDescent="0.25">
      <c r="A9" s="28" t="s">
        <v>43</v>
      </c>
      <c r="B9" s="28">
        <v>457159</v>
      </c>
      <c r="C9" s="28">
        <v>457159</v>
      </c>
      <c r="D9" s="28">
        <v>914318</v>
      </c>
      <c r="E9" s="28">
        <v>219436320</v>
      </c>
    </row>
    <row r="10" spans="1:5" x14ac:dyDescent="0.25">
      <c r="A10" s="28" t="s">
        <v>44</v>
      </c>
      <c r="B10" s="28">
        <v>163333</v>
      </c>
      <c r="C10" s="28">
        <v>0</v>
      </c>
      <c r="D10" s="28">
        <v>163333</v>
      </c>
      <c r="E10" s="28">
        <v>39199920</v>
      </c>
    </row>
    <row r="11" spans="1:5" x14ac:dyDescent="0.25">
      <c r="A11" s="28" t="s">
        <v>45</v>
      </c>
      <c r="B11" s="28">
        <v>60000</v>
      </c>
      <c r="C11" s="28">
        <v>60000</v>
      </c>
      <c r="D11" s="28">
        <v>120000</v>
      </c>
      <c r="E11" s="28">
        <v>28800000</v>
      </c>
    </row>
    <row r="12" spans="1:5" x14ac:dyDescent="0.25">
      <c r="A12" s="28" t="s">
        <v>46</v>
      </c>
      <c r="B12" s="28">
        <v>167187.5</v>
      </c>
      <c r="C12" s="28">
        <v>167187.5</v>
      </c>
      <c r="D12" s="28">
        <v>334375</v>
      </c>
      <c r="E12" s="28">
        <v>80250000</v>
      </c>
    </row>
    <row r="13" spans="1:5" x14ac:dyDescent="0.25">
      <c r="A13" s="28" t="s">
        <v>47</v>
      </c>
      <c r="B13" s="28">
        <v>37500</v>
      </c>
      <c r="C13" s="28">
        <v>37500</v>
      </c>
      <c r="D13" s="28">
        <v>75000</v>
      </c>
      <c r="E13" s="28">
        <v>18000000</v>
      </c>
    </row>
    <row r="14" spans="1:5" x14ac:dyDescent="0.25">
      <c r="A14" s="28" t="s">
        <v>48</v>
      </c>
      <c r="B14" s="28">
        <v>9600</v>
      </c>
      <c r="C14" s="28">
        <v>9600</v>
      </c>
      <c r="D14" s="28">
        <v>19200</v>
      </c>
      <c r="E14" s="28">
        <v>4608000</v>
      </c>
    </row>
    <row r="15" spans="1:5" x14ac:dyDescent="0.25">
      <c r="A15" s="28" t="s">
        <v>49</v>
      </c>
      <c r="B15" s="28">
        <v>0</v>
      </c>
      <c r="C15" s="28">
        <v>0</v>
      </c>
      <c r="D15" s="28">
        <v>0</v>
      </c>
      <c r="E15" s="28">
        <v>0</v>
      </c>
    </row>
    <row r="16" spans="1:5" x14ac:dyDescent="0.25">
      <c r="A16" s="28" t="s">
        <v>258</v>
      </c>
      <c r="B16" s="28">
        <v>78833</v>
      </c>
      <c r="C16" s="28">
        <v>78833</v>
      </c>
      <c r="D16" s="28">
        <v>157666</v>
      </c>
      <c r="E16" s="28">
        <v>37839840</v>
      </c>
    </row>
    <row r="17" spans="1:5" x14ac:dyDescent="0.25">
      <c r="A17" s="28" t="s">
        <v>56</v>
      </c>
      <c r="B17" s="28">
        <v>85458</v>
      </c>
      <c r="C17" s="28">
        <v>85458</v>
      </c>
      <c r="D17" s="28">
        <v>170916</v>
      </c>
      <c r="E17" s="28">
        <v>41019840</v>
      </c>
    </row>
    <row r="18" spans="1:5" s="31" customFormat="1" x14ac:dyDescent="0.25">
      <c r="A18" s="31" t="s">
        <v>21</v>
      </c>
      <c r="B18" s="31">
        <v>1153685</v>
      </c>
      <c r="C18" s="31">
        <v>990352</v>
      </c>
      <c r="D18" s="31">
        <v>2144037</v>
      </c>
      <c r="E18" s="31">
        <v>514568880</v>
      </c>
    </row>
    <row r="19" spans="1:5" x14ac:dyDescent="0.25">
      <c r="E19" s="28">
        <v>0</v>
      </c>
    </row>
    <row r="20" spans="1:5" x14ac:dyDescent="0.25">
      <c r="A20" s="31" t="s">
        <v>259</v>
      </c>
      <c r="D20" s="28">
        <v>0</v>
      </c>
      <c r="E20" s="28">
        <v>0</v>
      </c>
    </row>
    <row r="21" spans="1:5" ht="27.6" x14ac:dyDescent="0.25">
      <c r="A21" s="31" t="s">
        <v>260</v>
      </c>
      <c r="B21" s="153" t="s">
        <v>251</v>
      </c>
      <c r="C21" s="153" t="s">
        <v>252</v>
      </c>
      <c r="D21" s="153" t="s">
        <v>253</v>
      </c>
      <c r="E21" s="153" t="s">
        <v>254</v>
      </c>
    </row>
    <row r="22" spans="1:5" x14ac:dyDescent="0.25">
      <c r="B22" s="154" t="s">
        <v>10</v>
      </c>
      <c r="C22" s="155" t="s">
        <v>11</v>
      </c>
      <c r="D22" s="156" t="s">
        <v>10</v>
      </c>
      <c r="E22" s="156" t="s">
        <v>255</v>
      </c>
    </row>
    <row r="23" spans="1:5" x14ac:dyDescent="0.25">
      <c r="A23" s="28"/>
    </row>
    <row r="24" spans="1:5" x14ac:dyDescent="0.25">
      <c r="A24" s="28" t="s">
        <v>57</v>
      </c>
    </row>
    <row r="25" spans="1:5" x14ac:dyDescent="0.25">
      <c r="A25" s="28" t="s">
        <v>50</v>
      </c>
    </row>
    <row r="26" spans="1:5" x14ac:dyDescent="0.25">
      <c r="A26" s="28" t="s">
        <v>49</v>
      </c>
    </row>
    <row r="27" spans="1:5" x14ac:dyDescent="0.25">
      <c r="A27" s="28" t="s">
        <v>56</v>
      </c>
    </row>
    <row r="28" spans="1:5" x14ac:dyDescent="0.25">
      <c r="A28" s="31" t="s">
        <v>27</v>
      </c>
      <c r="B28" s="31">
        <v>183000</v>
      </c>
      <c r="C28" s="31">
        <v>183000</v>
      </c>
      <c r="D28" s="31">
        <v>366000</v>
      </c>
      <c r="E28" s="31">
        <v>87840000</v>
      </c>
    </row>
    <row r="31" spans="1:5" ht="27.6" x14ac:dyDescent="0.25">
      <c r="A31" s="31" t="s">
        <v>261</v>
      </c>
      <c r="B31" s="153" t="s">
        <v>251</v>
      </c>
      <c r="C31" s="153" t="s">
        <v>252</v>
      </c>
      <c r="D31" s="153" t="s">
        <v>253</v>
      </c>
      <c r="E31" s="153" t="s">
        <v>254</v>
      </c>
    </row>
    <row r="32" spans="1:5" x14ac:dyDescent="0.25">
      <c r="B32" s="154" t="s">
        <v>10</v>
      </c>
      <c r="C32" s="155" t="s">
        <v>11</v>
      </c>
      <c r="D32" s="156" t="s">
        <v>10</v>
      </c>
      <c r="E32" s="156" t="s">
        <v>255</v>
      </c>
    </row>
    <row r="33" spans="1:5" x14ac:dyDescent="0.25">
      <c r="A33" s="28" t="s">
        <v>57</v>
      </c>
    </row>
    <row r="34" spans="1:5" x14ac:dyDescent="0.25">
      <c r="A34" s="28" t="s">
        <v>50</v>
      </c>
    </row>
    <row r="35" spans="1:5" x14ac:dyDescent="0.25">
      <c r="A35" s="28" t="s">
        <v>49</v>
      </c>
    </row>
    <row r="36" spans="1:5" x14ac:dyDescent="0.25">
      <c r="A36" s="28" t="s">
        <v>56</v>
      </c>
    </row>
    <row r="37" spans="1:5" s="31" customFormat="1" x14ac:dyDescent="0.25">
      <c r="A37" s="31" t="s">
        <v>27</v>
      </c>
      <c r="B37" s="31">
        <v>92000</v>
      </c>
      <c r="C37" s="31">
        <v>92000</v>
      </c>
      <c r="D37" s="31">
        <v>184000</v>
      </c>
      <c r="E37" s="31">
        <v>44160000</v>
      </c>
    </row>
    <row r="39" spans="1:5" x14ac:dyDescent="0.25">
      <c r="A39" s="28" t="s">
        <v>262</v>
      </c>
      <c r="B39" s="28" t="s">
        <v>251</v>
      </c>
      <c r="C39" s="28" t="s">
        <v>252</v>
      </c>
      <c r="D39" s="28" t="s">
        <v>253</v>
      </c>
      <c r="E39" s="28" t="s">
        <v>254</v>
      </c>
    </row>
    <row r="40" spans="1:5" x14ac:dyDescent="0.25">
      <c r="A40" s="28" t="s">
        <v>25</v>
      </c>
      <c r="B40" s="28">
        <v>50000</v>
      </c>
      <c r="C40" s="28">
        <v>50000</v>
      </c>
      <c r="D40" s="28">
        <v>100000</v>
      </c>
      <c r="E40" s="28">
        <f>SUM(Table2[[#This Row],[Column3]]*240)</f>
        <v>24000000</v>
      </c>
    </row>
    <row r="41" spans="1:5" s="31" customFormat="1" x14ac:dyDescent="0.25">
      <c r="A41" s="31" t="s">
        <v>263</v>
      </c>
      <c r="B41" s="31">
        <v>50000</v>
      </c>
      <c r="C41" s="31">
        <v>50000</v>
      </c>
      <c r="D41" s="31">
        <v>100000</v>
      </c>
      <c r="E41" s="31">
        <f>SUM(Table2[[#This Row],[Column3]]*240)</f>
        <v>24000000</v>
      </c>
    </row>
    <row r="43" spans="1:5" ht="27.6" x14ac:dyDescent="0.25">
      <c r="A43" s="31" t="s">
        <v>28</v>
      </c>
      <c r="B43" s="153" t="s">
        <v>251</v>
      </c>
      <c r="C43" s="153" t="s">
        <v>252</v>
      </c>
      <c r="D43" s="153" t="s">
        <v>253</v>
      </c>
      <c r="E43" s="153" t="s">
        <v>254</v>
      </c>
    </row>
    <row r="44" spans="1:5" x14ac:dyDescent="0.25">
      <c r="B44" s="154" t="s">
        <v>10</v>
      </c>
      <c r="C44" s="155" t="s">
        <v>11</v>
      </c>
      <c r="D44" s="156" t="s">
        <v>10</v>
      </c>
      <c r="E44" s="156" t="s">
        <v>255</v>
      </c>
    </row>
    <row r="45" spans="1:5" s="31" customFormat="1" x14ac:dyDescent="0.25">
      <c r="B45" s="31">
        <f>SUM(B41+B37+B28+B18)</f>
        <v>1478685</v>
      </c>
      <c r="C45" s="31">
        <f>SUM(C41+C37+C28+C18)</f>
        <v>1315352</v>
      </c>
      <c r="D45" s="31">
        <v>2794037</v>
      </c>
      <c r="E45" s="31">
        <f>SUM(Table2[[#This Row],[Column3]]*240)</f>
        <v>670568880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429E2-C46E-4089-9BE1-20893D5B1BCE}">
  <dimension ref="A1:G41"/>
  <sheetViews>
    <sheetView topLeftCell="A17" workbookViewId="0">
      <selection activeCell="B37" sqref="B37:G37"/>
    </sheetView>
  </sheetViews>
  <sheetFormatPr defaultRowHeight="13.8" x14ac:dyDescent="0.25"/>
  <cols>
    <col min="1" max="1" width="19.44140625" style="42" customWidth="1"/>
    <col min="2" max="2" width="14.33203125" style="42" customWidth="1"/>
    <col min="3" max="3" width="13.6640625" style="42" customWidth="1"/>
    <col min="4" max="4" width="14.21875" style="42" customWidth="1"/>
    <col min="5" max="5" width="12.33203125" style="42" customWidth="1"/>
    <col min="6" max="6" width="15.5546875" style="42" customWidth="1"/>
    <col min="7" max="7" width="10.44140625" style="42" customWidth="1"/>
    <col min="8" max="16384" width="8.88671875" style="42"/>
  </cols>
  <sheetData>
    <row r="1" spans="1:7" hidden="1" x14ac:dyDescent="0.25">
      <c r="A1" s="42" t="s">
        <v>31</v>
      </c>
      <c r="B1" s="42" t="s">
        <v>32</v>
      </c>
      <c r="C1" s="42" t="s">
        <v>33</v>
      </c>
      <c r="D1" s="42" t="s">
        <v>34</v>
      </c>
      <c r="E1" s="42" t="s">
        <v>249</v>
      </c>
      <c r="F1" s="42" t="s">
        <v>279</v>
      </c>
      <c r="G1" s="42" t="s">
        <v>280</v>
      </c>
    </row>
    <row r="2" spans="1:7" s="68" customFormat="1" x14ac:dyDescent="0.25">
      <c r="A2" s="31" t="s">
        <v>264</v>
      </c>
      <c r="B2" s="31"/>
      <c r="C2" s="31"/>
      <c r="D2" s="31"/>
      <c r="E2" s="31"/>
      <c r="F2" s="31"/>
      <c r="G2" s="31"/>
    </row>
    <row r="3" spans="1:7" s="68" customFormat="1" x14ac:dyDescent="0.25">
      <c r="A3" s="31" t="s">
        <v>265</v>
      </c>
      <c r="B3" s="31"/>
      <c r="C3" s="31"/>
      <c r="D3" s="31"/>
      <c r="E3" s="31"/>
      <c r="F3" s="31"/>
      <c r="G3" s="31"/>
    </row>
    <row r="4" spans="1:7" s="68" customFormat="1" x14ac:dyDescent="0.25">
      <c r="A4" s="31" t="s">
        <v>266</v>
      </c>
      <c r="B4" s="31"/>
      <c r="C4" s="31"/>
      <c r="D4" s="31"/>
      <c r="E4" s="31"/>
      <c r="F4" s="31"/>
      <c r="G4" s="31"/>
    </row>
    <row r="5" spans="1:7" s="68" customFormat="1" x14ac:dyDescent="0.25">
      <c r="A5" s="31" t="s">
        <v>267</v>
      </c>
      <c r="B5" s="31"/>
      <c r="C5" s="31"/>
      <c r="D5" s="31"/>
      <c r="E5" s="31"/>
      <c r="F5" s="31"/>
      <c r="G5" s="31"/>
    </row>
    <row r="6" spans="1:7" s="68" customFormat="1" x14ac:dyDescent="0.25">
      <c r="A6" s="31" t="s">
        <v>64</v>
      </c>
      <c r="B6" s="31"/>
      <c r="C6" s="31"/>
      <c r="D6" s="31"/>
      <c r="E6" s="31"/>
      <c r="F6" s="31"/>
      <c r="G6" s="31"/>
    </row>
    <row r="7" spans="1:7" s="68" customFormat="1" x14ac:dyDescent="0.25">
      <c r="A7" s="31" t="s">
        <v>268</v>
      </c>
      <c r="B7" s="31"/>
      <c r="C7" s="31"/>
      <c r="D7" s="31"/>
      <c r="E7" s="31"/>
      <c r="F7" s="31"/>
      <c r="G7" s="31"/>
    </row>
    <row r="8" spans="1:7" x14ac:dyDescent="0.25">
      <c r="A8" s="31" t="s">
        <v>3</v>
      </c>
      <c r="B8" s="28" t="s">
        <v>269</v>
      </c>
      <c r="C8" s="28"/>
      <c r="D8" s="28" t="s">
        <v>270</v>
      </c>
      <c r="E8" s="28"/>
      <c r="F8" s="28" t="s">
        <v>83</v>
      </c>
      <c r="G8" s="28"/>
    </row>
    <row r="9" spans="1:7" x14ac:dyDescent="0.25">
      <c r="A9" s="28"/>
      <c r="B9" s="28" t="s">
        <v>10</v>
      </c>
      <c r="C9" s="28" t="s">
        <v>9</v>
      </c>
      <c r="D9" s="28" t="s">
        <v>11</v>
      </c>
      <c r="E9" s="28" t="s">
        <v>9</v>
      </c>
      <c r="F9" s="28" t="s">
        <v>11</v>
      </c>
      <c r="G9" s="28" t="s">
        <v>9</v>
      </c>
    </row>
    <row r="10" spans="1:7" x14ac:dyDescent="0.25">
      <c r="A10" s="28" t="s">
        <v>38</v>
      </c>
      <c r="B10" s="28">
        <v>45750</v>
      </c>
      <c r="C10" s="28" t="s">
        <v>271</v>
      </c>
      <c r="D10" s="28">
        <v>0</v>
      </c>
      <c r="E10" s="28" t="s">
        <v>271</v>
      </c>
      <c r="F10" s="28">
        <v>45750</v>
      </c>
      <c r="G10" s="28" t="s">
        <v>271</v>
      </c>
    </row>
    <row r="11" spans="1:7" x14ac:dyDescent="0.25">
      <c r="A11" s="28" t="s">
        <v>256</v>
      </c>
      <c r="B11" s="28">
        <v>110340</v>
      </c>
      <c r="C11" s="28">
        <v>0</v>
      </c>
      <c r="D11" s="28">
        <v>0</v>
      </c>
      <c r="E11" s="28">
        <v>0</v>
      </c>
      <c r="F11" s="28">
        <v>110340</v>
      </c>
      <c r="G11" s="28" t="s">
        <v>271</v>
      </c>
    </row>
    <row r="12" spans="1:7" x14ac:dyDescent="0.25">
      <c r="A12" s="28" t="s">
        <v>272</v>
      </c>
      <c r="B12" s="28">
        <v>250000</v>
      </c>
      <c r="C12" s="28">
        <v>0</v>
      </c>
      <c r="D12" s="28">
        <v>250000</v>
      </c>
      <c r="E12" s="28">
        <v>0</v>
      </c>
      <c r="F12" s="28">
        <v>500000</v>
      </c>
      <c r="G12" s="28" t="s">
        <v>271</v>
      </c>
    </row>
    <row r="13" spans="1:7" x14ac:dyDescent="0.25">
      <c r="A13" s="28" t="s">
        <v>273</v>
      </c>
      <c r="B13" s="28">
        <v>327643</v>
      </c>
      <c r="C13" s="28">
        <v>0</v>
      </c>
      <c r="D13" s="28">
        <v>165024</v>
      </c>
      <c r="E13" s="28">
        <v>0</v>
      </c>
      <c r="F13" s="28">
        <v>492667</v>
      </c>
      <c r="G13" s="28" t="s">
        <v>271</v>
      </c>
    </row>
    <row r="14" spans="1:7" x14ac:dyDescent="0.25">
      <c r="A14" s="28" t="s">
        <v>42</v>
      </c>
      <c r="B14" s="28">
        <v>157500</v>
      </c>
      <c r="C14" s="28">
        <v>0</v>
      </c>
      <c r="D14" s="28">
        <v>94500</v>
      </c>
      <c r="E14" s="28">
        <v>0</v>
      </c>
      <c r="F14" s="28">
        <v>252000</v>
      </c>
      <c r="G14" s="28" t="s">
        <v>271</v>
      </c>
    </row>
    <row r="15" spans="1:7" x14ac:dyDescent="0.25">
      <c r="A15" s="28" t="s">
        <v>43</v>
      </c>
      <c r="B15" s="28">
        <v>230000</v>
      </c>
      <c r="C15" s="28">
        <v>0</v>
      </c>
      <c r="D15" s="28">
        <v>31000</v>
      </c>
      <c r="E15" s="28">
        <v>0</v>
      </c>
      <c r="F15" s="28">
        <v>261000</v>
      </c>
      <c r="G15" s="28" t="s">
        <v>271</v>
      </c>
    </row>
    <row r="16" spans="1:7" x14ac:dyDescent="0.25">
      <c r="A16" s="28" t="s">
        <v>274</v>
      </c>
      <c r="B16" s="28"/>
      <c r="C16" s="28" t="s">
        <v>271</v>
      </c>
      <c r="D16" s="28"/>
      <c r="E16" s="28"/>
      <c r="F16" s="28">
        <v>0</v>
      </c>
      <c r="G16" s="28" t="s">
        <v>271</v>
      </c>
    </row>
    <row r="17" spans="1:7" x14ac:dyDescent="0.25">
      <c r="A17" s="28" t="s">
        <v>44</v>
      </c>
      <c r="B17" s="28">
        <v>93900</v>
      </c>
      <c r="C17" s="28">
        <v>0</v>
      </c>
      <c r="D17" s="28">
        <v>0</v>
      </c>
      <c r="E17" s="28">
        <v>0</v>
      </c>
      <c r="F17" s="28">
        <v>93900</v>
      </c>
      <c r="G17" s="28" t="s">
        <v>271</v>
      </c>
    </row>
    <row r="18" spans="1:7" x14ac:dyDescent="0.25">
      <c r="A18" s="28" t="s">
        <v>275</v>
      </c>
      <c r="B18" s="28">
        <v>90000</v>
      </c>
      <c r="C18" s="28">
        <v>0</v>
      </c>
      <c r="D18" s="28">
        <v>90000</v>
      </c>
      <c r="E18" s="28">
        <v>0</v>
      </c>
      <c r="F18" s="28">
        <v>180000</v>
      </c>
      <c r="G18" s="28" t="s">
        <v>271</v>
      </c>
    </row>
    <row r="19" spans="1:7" x14ac:dyDescent="0.25">
      <c r="A19" s="28" t="s">
        <v>46</v>
      </c>
      <c r="B19" s="28">
        <v>114375</v>
      </c>
      <c r="C19" s="28">
        <v>0</v>
      </c>
      <c r="D19" s="28">
        <v>68625</v>
      </c>
      <c r="E19" s="28">
        <v>0</v>
      </c>
      <c r="F19" s="28">
        <v>183000</v>
      </c>
      <c r="G19" s="28" t="s">
        <v>271</v>
      </c>
    </row>
    <row r="20" spans="1:7" x14ac:dyDescent="0.25">
      <c r="A20" s="28" t="s">
        <v>235</v>
      </c>
      <c r="B20" s="28">
        <v>198000</v>
      </c>
      <c r="C20" s="28">
        <v>0</v>
      </c>
      <c r="D20" s="28">
        <v>66000</v>
      </c>
      <c r="E20" s="28">
        <v>0</v>
      </c>
      <c r="F20" s="28">
        <v>264000</v>
      </c>
      <c r="G20" s="28" t="s">
        <v>271</v>
      </c>
    </row>
    <row r="21" spans="1:7" x14ac:dyDescent="0.25">
      <c r="A21" s="28" t="s">
        <v>48</v>
      </c>
      <c r="B21" s="28">
        <v>18000</v>
      </c>
      <c r="C21" s="28">
        <v>0</v>
      </c>
      <c r="D21" s="28">
        <v>12000</v>
      </c>
      <c r="E21" s="28">
        <v>0</v>
      </c>
      <c r="F21" s="28">
        <v>30000</v>
      </c>
      <c r="G21" s="28" t="s">
        <v>271</v>
      </c>
    </row>
    <row r="22" spans="1:7" x14ac:dyDescent="0.25">
      <c r="A22" s="28" t="s">
        <v>50</v>
      </c>
      <c r="B22" s="28">
        <v>0</v>
      </c>
      <c r="C22" s="28">
        <v>0</v>
      </c>
      <c r="D22" s="28">
        <v>0</v>
      </c>
      <c r="E22" s="28">
        <v>0</v>
      </c>
      <c r="F22" s="28">
        <v>0</v>
      </c>
      <c r="G22" s="28" t="s">
        <v>271</v>
      </c>
    </row>
    <row r="23" spans="1:7" x14ac:dyDescent="0.25">
      <c r="A23" s="28" t="s">
        <v>49</v>
      </c>
      <c r="B23" s="28"/>
      <c r="C23" s="28"/>
      <c r="D23" s="28"/>
      <c r="E23" s="28"/>
      <c r="F23" s="28">
        <v>0</v>
      </c>
      <c r="G23" s="28"/>
    </row>
    <row r="24" spans="1:7" x14ac:dyDescent="0.25">
      <c r="A24" s="28" t="s">
        <v>276</v>
      </c>
      <c r="B24" s="28">
        <v>1635508</v>
      </c>
      <c r="C24" s="28"/>
      <c r="D24" s="28">
        <v>777149</v>
      </c>
      <c r="E24" s="28"/>
      <c r="F24" s="28">
        <v>2412657</v>
      </c>
      <c r="G24" s="28" t="s">
        <v>271</v>
      </c>
    </row>
    <row r="25" spans="1:7" x14ac:dyDescent="0.25">
      <c r="A25" s="28" t="s">
        <v>56</v>
      </c>
      <c r="B25" s="28">
        <v>130840.64</v>
      </c>
      <c r="C25" s="28" t="s">
        <v>271</v>
      </c>
      <c r="D25" s="28">
        <v>62171.92</v>
      </c>
      <c r="E25" s="28"/>
      <c r="F25" s="28">
        <v>193012.56</v>
      </c>
      <c r="G25" s="28" t="s">
        <v>271</v>
      </c>
    </row>
    <row r="26" spans="1:7" s="68" customFormat="1" x14ac:dyDescent="0.25">
      <c r="A26" s="31" t="s">
        <v>27</v>
      </c>
      <c r="B26" s="31">
        <v>1766348.64</v>
      </c>
      <c r="C26" s="31"/>
      <c r="D26" s="31">
        <v>839320.92</v>
      </c>
      <c r="E26" s="31" t="s">
        <v>271</v>
      </c>
      <c r="F26" s="31">
        <v>2605669.56</v>
      </c>
      <c r="G26" s="31" t="s">
        <v>271</v>
      </c>
    </row>
    <row r="27" spans="1:7" x14ac:dyDescent="0.25">
      <c r="A27" s="31" t="s">
        <v>22</v>
      </c>
      <c r="B27" s="31"/>
      <c r="C27" s="31"/>
      <c r="D27" s="31"/>
      <c r="E27" s="31"/>
      <c r="F27" s="31"/>
      <c r="G27" s="31"/>
    </row>
    <row r="28" spans="1:7" x14ac:dyDescent="0.25">
      <c r="A28" s="28"/>
      <c r="B28" s="28"/>
      <c r="C28" s="28"/>
      <c r="D28" s="28"/>
      <c r="E28" s="28"/>
      <c r="F28" s="28"/>
      <c r="G28" s="28"/>
    </row>
    <row r="29" spans="1:7" x14ac:dyDescent="0.25">
      <c r="A29" s="28" t="s">
        <v>277</v>
      </c>
      <c r="B29" s="28">
        <v>0</v>
      </c>
      <c r="C29" s="28" t="s">
        <v>271</v>
      </c>
      <c r="D29" s="28">
        <v>0</v>
      </c>
      <c r="E29" s="28" t="s">
        <v>271</v>
      </c>
      <c r="F29" s="28">
        <v>0</v>
      </c>
      <c r="G29" s="28"/>
    </row>
    <row r="30" spans="1:7" x14ac:dyDescent="0.25">
      <c r="A30" s="28" t="s">
        <v>38</v>
      </c>
      <c r="B30" s="28" t="s">
        <v>271</v>
      </c>
      <c r="C30" s="28"/>
      <c r="D30" s="28" t="s">
        <v>271</v>
      </c>
      <c r="E30" s="28"/>
      <c r="F30" s="28" t="s">
        <v>271</v>
      </c>
      <c r="G30" s="28"/>
    </row>
    <row r="31" spans="1:7" x14ac:dyDescent="0.25">
      <c r="A31" s="28" t="s">
        <v>58</v>
      </c>
      <c r="B31" s="28" t="s">
        <v>271</v>
      </c>
      <c r="C31" s="28"/>
      <c r="D31" s="28" t="s">
        <v>271</v>
      </c>
      <c r="E31" s="28"/>
      <c r="F31" s="28" t="s">
        <v>271</v>
      </c>
      <c r="G31" s="28"/>
    </row>
    <row r="32" spans="1:7" x14ac:dyDescent="0.25">
      <c r="A32" s="28" t="s">
        <v>50</v>
      </c>
      <c r="B32" s="28">
        <v>0</v>
      </c>
      <c r="C32" s="28"/>
      <c r="D32" s="28">
        <v>0</v>
      </c>
      <c r="E32" s="28"/>
      <c r="F32" s="28">
        <v>0</v>
      </c>
      <c r="G32" s="28"/>
    </row>
    <row r="33" spans="1:7" x14ac:dyDescent="0.25">
      <c r="A33" s="28" t="s">
        <v>56</v>
      </c>
      <c r="B33" s="28">
        <v>0</v>
      </c>
      <c r="C33" s="28"/>
      <c r="D33" s="28">
        <v>0</v>
      </c>
      <c r="E33" s="28"/>
      <c r="F33" s="28">
        <v>0</v>
      </c>
      <c r="G33" s="28"/>
    </row>
    <row r="34" spans="1:7" s="68" customFormat="1" x14ac:dyDescent="0.25">
      <c r="A34" s="31" t="s">
        <v>27</v>
      </c>
      <c r="B34" s="31">
        <v>0</v>
      </c>
      <c r="C34" s="31" t="s">
        <v>271</v>
      </c>
      <c r="D34" s="31">
        <v>0</v>
      </c>
      <c r="E34" s="31" t="s">
        <v>271</v>
      </c>
      <c r="F34" s="31">
        <v>0</v>
      </c>
      <c r="G34" s="31"/>
    </row>
    <row r="35" spans="1:7" x14ac:dyDescent="0.25">
      <c r="A35" s="28" t="s">
        <v>25</v>
      </c>
      <c r="B35" s="28"/>
      <c r="C35" s="28"/>
      <c r="D35" s="28"/>
      <c r="E35" s="28"/>
      <c r="F35" s="28" t="s">
        <v>278</v>
      </c>
      <c r="G35" s="28"/>
    </row>
    <row r="36" spans="1:7" x14ac:dyDescent="0.25">
      <c r="A36" s="28"/>
      <c r="B36" s="28"/>
      <c r="C36" s="28"/>
      <c r="D36" s="28"/>
      <c r="E36" s="28"/>
      <c r="F36" s="28" t="s">
        <v>10</v>
      </c>
      <c r="G36" s="28"/>
    </row>
    <row r="37" spans="1:7" s="68" customFormat="1" x14ac:dyDescent="0.25">
      <c r="A37" s="31" t="s">
        <v>27</v>
      </c>
      <c r="B37" s="31">
        <v>72000</v>
      </c>
      <c r="C37" s="31"/>
      <c r="D37" s="31">
        <v>72000</v>
      </c>
      <c r="E37" s="31"/>
      <c r="F37" s="31">
        <v>144000</v>
      </c>
      <c r="G37" s="31"/>
    </row>
    <row r="38" spans="1:7" s="68" customFormat="1" x14ac:dyDescent="0.25">
      <c r="A38" s="31" t="s">
        <v>29</v>
      </c>
      <c r="B38" s="31"/>
      <c r="C38" s="31"/>
      <c r="D38" s="31"/>
      <c r="E38" s="31"/>
      <c r="F38" s="31"/>
      <c r="G38" s="31"/>
    </row>
    <row r="39" spans="1:7" x14ac:dyDescent="0.25">
      <c r="A39" s="28"/>
      <c r="B39" s="28"/>
      <c r="C39" s="28"/>
      <c r="D39" s="28"/>
      <c r="E39" s="28"/>
      <c r="F39" s="28"/>
      <c r="G39" s="28"/>
    </row>
    <row r="40" spans="1:7" s="68" customFormat="1" x14ac:dyDescent="0.25">
      <c r="A40" s="31"/>
      <c r="B40" s="31">
        <f>SUM(B26+B37)</f>
        <v>1838348.64</v>
      </c>
      <c r="C40" s="31"/>
      <c r="D40" s="31">
        <f>SUM(D26+D37)</f>
        <v>911320.92</v>
      </c>
      <c r="E40" s="31"/>
      <c r="F40" s="31">
        <f>SUM(Table3[[#This Row],[Column2]]+Table3[[#This Row],[Column4]])</f>
        <v>2749669.56</v>
      </c>
      <c r="G40" s="31"/>
    </row>
    <row r="41" spans="1:7" x14ac:dyDescent="0.25">
      <c r="A41" s="28"/>
      <c r="B41" s="28"/>
      <c r="C41" s="28"/>
      <c r="D41" s="28"/>
      <c r="E41" s="28"/>
      <c r="F41" s="28"/>
      <c r="G41" s="28"/>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F6E60-6227-47BC-B103-183D8F90260E}">
  <dimension ref="A1:D43"/>
  <sheetViews>
    <sheetView topLeftCell="A16" workbookViewId="0">
      <selection activeCell="C64" sqref="C63:C64"/>
    </sheetView>
  </sheetViews>
  <sheetFormatPr defaultRowHeight="14.4" x14ac:dyDescent="0.3"/>
  <cols>
    <col min="1" max="1" width="18.77734375" customWidth="1"/>
    <col min="2" max="2" width="16.33203125" customWidth="1"/>
    <col min="3" max="3" width="21" customWidth="1"/>
    <col min="4" max="4" width="18.6640625" customWidth="1"/>
  </cols>
  <sheetData>
    <row r="1" spans="1:4" x14ac:dyDescent="0.3">
      <c r="A1" s="68" t="s">
        <v>31</v>
      </c>
      <c r="B1" s="68" t="s">
        <v>32</v>
      </c>
      <c r="C1" s="68" t="s">
        <v>33</v>
      </c>
      <c r="D1" s="68" t="s">
        <v>34</v>
      </c>
    </row>
    <row r="2" spans="1:4" x14ac:dyDescent="0.3">
      <c r="A2" s="68" t="s">
        <v>281</v>
      </c>
      <c r="B2" s="68"/>
      <c r="C2" s="68"/>
      <c r="D2" s="68"/>
    </row>
    <row r="3" spans="1:4" x14ac:dyDescent="0.3">
      <c r="A3" s="68" t="s">
        <v>282</v>
      </c>
      <c r="B3" s="68"/>
      <c r="C3" s="68"/>
      <c r="D3" s="68"/>
    </row>
    <row r="4" spans="1:4" x14ac:dyDescent="0.3">
      <c r="A4" s="68" t="s">
        <v>283</v>
      </c>
      <c r="B4" s="68"/>
      <c r="C4" s="68"/>
      <c r="D4" s="68"/>
    </row>
    <row r="5" spans="1:4" x14ac:dyDescent="0.3">
      <c r="A5" s="68" t="s">
        <v>284</v>
      </c>
      <c r="B5" s="68" t="s">
        <v>285</v>
      </c>
      <c r="C5" s="68"/>
      <c r="D5" s="68"/>
    </row>
    <row r="6" spans="1:4" x14ac:dyDescent="0.3">
      <c r="A6" s="68" t="s">
        <v>286</v>
      </c>
      <c r="B6" s="68"/>
      <c r="C6" s="68"/>
      <c r="D6" s="68"/>
    </row>
    <row r="7" spans="1:4" x14ac:dyDescent="0.3">
      <c r="A7" s="68" t="s">
        <v>289</v>
      </c>
      <c r="B7" s="68"/>
      <c r="C7" s="68"/>
      <c r="D7" s="68"/>
    </row>
    <row r="8" spans="1:4" s="38" customFormat="1" ht="26.4" x14ac:dyDescent="0.3">
      <c r="A8" s="42"/>
      <c r="B8" s="42"/>
      <c r="C8" s="91" t="s">
        <v>94</v>
      </c>
      <c r="D8" s="91" t="s">
        <v>94</v>
      </c>
    </row>
    <row r="9" spans="1:4" x14ac:dyDescent="0.3">
      <c r="A9" s="68" t="s">
        <v>3</v>
      </c>
      <c r="B9" s="68"/>
      <c r="C9" s="146" t="s">
        <v>11</v>
      </c>
      <c r="D9" s="147" t="s">
        <v>287</v>
      </c>
    </row>
    <row r="10" spans="1:4" x14ac:dyDescent="0.3">
      <c r="A10" s="42"/>
      <c r="B10" s="42"/>
      <c r="C10" s="42">
        <v>0</v>
      </c>
      <c r="D10" s="42">
        <v>0</v>
      </c>
    </row>
    <row r="11" spans="1:4" x14ac:dyDescent="0.3">
      <c r="A11" s="42" t="s">
        <v>38</v>
      </c>
      <c r="B11" s="42"/>
      <c r="C11" s="42">
        <v>0</v>
      </c>
      <c r="D11" s="42">
        <v>0</v>
      </c>
    </row>
    <row r="12" spans="1:4" x14ac:dyDescent="0.3">
      <c r="A12" s="42" t="s">
        <v>39</v>
      </c>
      <c r="B12" s="42"/>
      <c r="C12" s="42">
        <v>16250</v>
      </c>
      <c r="D12" s="42">
        <v>3900000</v>
      </c>
    </row>
    <row r="13" spans="1:4" x14ac:dyDescent="0.3">
      <c r="A13" s="42" t="s">
        <v>288</v>
      </c>
      <c r="B13" s="42"/>
      <c r="C13" s="42">
        <v>0</v>
      </c>
      <c r="D13" s="42">
        <v>0</v>
      </c>
    </row>
    <row r="14" spans="1:4" x14ac:dyDescent="0.3">
      <c r="A14" s="42" t="s">
        <v>41</v>
      </c>
      <c r="B14" s="42"/>
      <c r="C14" s="42">
        <v>33791.666666666672</v>
      </c>
      <c r="D14" s="42">
        <v>8110000.0000000009</v>
      </c>
    </row>
    <row r="15" spans="1:4" x14ac:dyDescent="0.3">
      <c r="A15" s="42" t="s">
        <v>42</v>
      </c>
      <c r="B15" s="42"/>
      <c r="C15" s="42">
        <v>29625</v>
      </c>
      <c r="D15" s="42">
        <v>7110000</v>
      </c>
    </row>
    <row r="16" spans="1:4" x14ac:dyDescent="0.3">
      <c r="A16" s="42" t="s">
        <v>43</v>
      </c>
      <c r="B16" s="42"/>
      <c r="C16" s="42">
        <v>52833.333333333328</v>
      </c>
      <c r="D16" s="42">
        <v>12679999.999999998</v>
      </c>
    </row>
    <row r="17" spans="1:4" x14ac:dyDescent="0.3">
      <c r="A17" s="42" t="s">
        <v>44</v>
      </c>
      <c r="B17" s="42"/>
      <c r="C17" s="42">
        <v>20000</v>
      </c>
      <c r="D17" s="42">
        <v>4800000</v>
      </c>
    </row>
    <row r="18" spans="1:4" x14ac:dyDescent="0.3">
      <c r="A18" s="42" t="s">
        <v>45</v>
      </c>
      <c r="B18" s="42"/>
      <c r="C18" s="42">
        <v>80000</v>
      </c>
      <c r="D18" s="42">
        <v>19200000</v>
      </c>
    </row>
    <row r="19" spans="1:4" x14ac:dyDescent="0.3">
      <c r="A19" s="42" t="s">
        <v>46</v>
      </c>
      <c r="B19" s="42"/>
      <c r="C19" s="42">
        <v>18125.000000000335</v>
      </c>
      <c r="D19" s="42">
        <v>4350000.0000000801</v>
      </c>
    </row>
    <row r="20" spans="1:4" x14ac:dyDescent="0.3">
      <c r="A20" s="42" t="s">
        <v>47</v>
      </c>
      <c r="B20" s="42"/>
      <c r="C20" s="42">
        <v>29270.833333333332</v>
      </c>
      <c r="D20" s="42">
        <v>7025000</v>
      </c>
    </row>
    <row r="21" spans="1:4" x14ac:dyDescent="0.3">
      <c r="A21" s="42" t="s">
        <v>48</v>
      </c>
      <c r="B21" s="42"/>
      <c r="C21" s="42">
        <v>2500</v>
      </c>
      <c r="D21" s="42">
        <v>600000</v>
      </c>
    </row>
    <row r="22" spans="1:4" x14ac:dyDescent="0.3">
      <c r="A22" s="42" t="s">
        <v>50</v>
      </c>
      <c r="B22" s="42"/>
      <c r="C22" s="42">
        <v>107166.66666666667</v>
      </c>
      <c r="D22" s="42">
        <v>25720000</v>
      </c>
    </row>
    <row r="23" spans="1:4" x14ac:dyDescent="0.3">
      <c r="A23" s="42" t="s">
        <v>56</v>
      </c>
      <c r="B23" s="42"/>
      <c r="C23" s="42">
        <v>60393.833333333023</v>
      </c>
      <c r="D23" s="42">
        <v>14494519.999999925</v>
      </c>
    </row>
    <row r="24" spans="1:4" s="38" customFormat="1" x14ac:dyDescent="0.3">
      <c r="A24" s="42"/>
      <c r="B24" s="42"/>
      <c r="C24" s="42"/>
      <c r="D24" s="42"/>
    </row>
    <row r="25" spans="1:4" x14ac:dyDescent="0.3">
      <c r="A25" s="68" t="s">
        <v>21</v>
      </c>
      <c r="B25" s="68"/>
      <c r="C25" s="68">
        <v>449956.33333333337</v>
      </c>
      <c r="D25" s="68">
        <v>107989520.00000001</v>
      </c>
    </row>
    <row r="26" spans="1:4" x14ac:dyDescent="0.3">
      <c r="A26" s="42"/>
      <c r="B26" s="42"/>
      <c r="C26" s="42"/>
      <c r="D26" s="42"/>
    </row>
    <row r="27" spans="1:4" ht="26.4" x14ac:dyDescent="0.3">
      <c r="A27" s="42" t="s">
        <v>22</v>
      </c>
      <c r="B27" s="42"/>
      <c r="C27" s="91" t="s">
        <v>94</v>
      </c>
      <c r="D27" s="91" t="s">
        <v>94</v>
      </c>
    </row>
    <row r="28" spans="1:4" x14ac:dyDescent="0.3">
      <c r="A28" s="42"/>
      <c r="B28" s="42"/>
      <c r="C28" s="146" t="s">
        <v>11</v>
      </c>
      <c r="D28" s="147" t="s">
        <v>287</v>
      </c>
    </row>
    <row r="29" spans="1:4" x14ac:dyDescent="0.3">
      <c r="A29" s="42" t="s">
        <v>290</v>
      </c>
      <c r="B29" s="42"/>
      <c r="C29" s="42">
        <v>525000</v>
      </c>
      <c r="D29" s="42">
        <v>525000</v>
      </c>
    </row>
    <row r="30" spans="1:4" x14ac:dyDescent="0.3">
      <c r="A30" s="42" t="s">
        <v>291</v>
      </c>
      <c r="B30" s="42"/>
      <c r="C30" s="42">
        <v>75000</v>
      </c>
      <c r="D30" s="42">
        <v>0</v>
      </c>
    </row>
    <row r="31" spans="1:4" x14ac:dyDescent="0.3">
      <c r="A31" s="42" t="s">
        <v>292</v>
      </c>
      <c r="B31" s="42"/>
      <c r="C31" s="42">
        <v>150000</v>
      </c>
      <c r="D31" s="42">
        <v>150000</v>
      </c>
    </row>
    <row r="32" spans="1:4" x14ac:dyDescent="0.3">
      <c r="A32" s="42" t="s">
        <v>293</v>
      </c>
      <c r="B32" s="42"/>
      <c r="C32" s="42"/>
      <c r="D32" s="42"/>
    </row>
    <row r="33" spans="1:4" x14ac:dyDescent="0.3">
      <c r="A33" s="42" t="s">
        <v>294</v>
      </c>
      <c r="B33" s="42"/>
      <c r="C33" s="42">
        <v>162000</v>
      </c>
      <c r="D33" s="42">
        <v>0</v>
      </c>
    </row>
    <row r="34" spans="1:4" x14ac:dyDescent="0.3">
      <c r="A34" s="42" t="s">
        <v>50</v>
      </c>
      <c r="B34" s="42"/>
      <c r="C34" s="42">
        <v>20000</v>
      </c>
      <c r="D34" s="42"/>
    </row>
    <row r="35" spans="1:4" x14ac:dyDescent="0.3">
      <c r="A35" s="42" t="s">
        <v>295</v>
      </c>
      <c r="B35" s="42"/>
      <c r="C35" s="42"/>
      <c r="D35" s="42">
        <v>10000</v>
      </c>
    </row>
    <row r="36" spans="1:4" x14ac:dyDescent="0.3">
      <c r="A36" s="42" t="s">
        <v>296</v>
      </c>
      <c r="B36" s="42"/>
      <c r="C36" s="42">
        <v>30960</v>
      </c>
      <c r="D36" s="42">
        <v>31000</v>
      </c>
    </row>
    <row r="37" spans="1:4" s="38" customFormat="1" x14ac:dyDescent="0.3">
      <c r="A37" s="42" t="s">
        <v>56</v>
      </c>
      <c r="B37" s="42"/>
      <c r="C37" s="42">
        <v>53240</v>
      </c>
      <c r="D37" s="42">
        <v>10414</v>
      </c>
    </row>
    <row r="38" spans="1:4" x14ac:dyDescent="0.3">
      <c r="A38" s="68" t="s">
        <v>297</v>
      </c>
      <c r="B38" s="68"/>
      <c r="C38" s="68">
        <v>1016200</v>
      </c>
      <c r="D38" s="68">
        <v>726414</v>
      </c>
    </row>
    <row r="39" spans="1:4" hidden="1" x14ac:dyDescent="0.3">
      <c r="A39" t="s">
        <v>31</v>
      </c>
      <c r="B39" t="s">
        <v>32</v>
      </c>
      <c r="C39" t="s">
        <v>33</v>
      </c>
      <c r="D39" t="s">
        <v>34</v>
      </c>
    </row>
    <row r="41" spans="1:4" ht="26.4" x14ac:dyDescent="0.3">
      <c r="A41" s="149" t="s">
        <v>28</v>
      </c>
      <c r="B41" s="149"/>
      <c r="C41" s="91" t="s">
        <v>94</v>
      </c>
      <c r="D41" s="91" t="s">
        <v>94</v>
      </c>
    </row>
    <row r="42" spans="1:4" x14ac:dyDescent="0.3">
      <c r="A42" s="149"/>
      <c r="B42" s="149"/>
      <c r="C42" s="146" t="s">
        <v>11</v>
      </c>
      <c r="D42" s="148" t="s">
        <v>287</v>
      </c>
    </row>
    <row r="43" spans="1:4" x14ac:dyDescent="0.3">
      <c r="A43" s="149"/>
      <c r="B43" s="149"/>
      <c r="C43" s="38">
        <f>SUM(C25+C38)</f>
        <v>1466156.3333333335</v>
      </c>
      <c r="D43" s="38">
        <f>SUM(D25,D38)</f>
        <v>108715934.00000001</v>
      </c>
    </row>
  </sheetData>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26094-56D5-4C04-9D0F-352D48E932A2}">
  <dimension ref="A1:I58"/>
  <sheetViews>
    <sheetView topLeftCell="C40" workbookViewId="0">
      <selection activeCell="G54" sqref="G54:G55"/>
    </sheetView>
  </sheetViews>
  <sheetFormatPr defaultRowHeight="14.4" x14ac:dyDescent="0.3"/>
  <cols>
    <col min="1" max="1" width="26.21875" customWidth="1"/>
    <col min="2" max="4" width="14.5546875" customWidth="1"/>
    <col min="5" max="6" width="20.5546875" customWidth="1"/>
    <col min="7" max="7" width="19" customWidth="1"/>
    <col min="9" max="9" width="12.44140625" bestFit="1" customWidth="1"/>
  </cols>
  <sheetData>
    <row r="1" spans="1:7" x14ac:dyDescent="0.3">
      <c r="A1" s="195" t="s">
        <v>35</v>
      </c>
      <c r="B1" s="197"/>
      <c r="C1" s="197"/>
      <c r="D1" s="197"/>
      <c r="E1" s="197"/>
      <c r="F1" s="197"/>
      <c r="G1" s="197"/>
    </row>
    <row r="2" spans="1:7" x14ac:dyDescent="0.3">
      <c r="A2" s="196" t="s">
        <v>36</v>
      </c>
      <c r="B2" s="198"/>
      <c r="C2" s="198"/>
      <c r="D2" s="198"/>
      <c r="E2" s="198"/>
      <c r="F2" s="198"/>
      <c r="G2" s="198"/>
    </row>
    <row r="3" spans="1:7" x14ac:dyDescent="0.3">
      <c r="A3" s="196" t="s">
        <v>37</v>
      </c>
      <c r="B3" s="198"/>
      <c r="C3" s="198"/>
      <c r="D3" s="198"/>
      <c r="E3" s="198"/>
      <c r="F3" s="198"/>
      <c r="G3" s="198"/>
    </row>
    <row r="4" spans="1:7" x14ac:dyDescent="0.3">
      <c r="A4" s="195" t="s">
        <v>0</v>
      </c>
      <c r="B4" s="197"/>
      <c r="C4" s="197"/>
      <c r="D4" s="197"/>
      <c r="E4" s="197"/>
      <c r="F4" s="197"/>
      <c r="G4" s="197"/>
    </row>
    <row r="5" spans="1:7" x14ac:dyDescent="0.3">
      <c r="A5" s="195" t="s">
        <v>1</v>
      </c>
      <c r="B5" s="197"/>
      <c r="C5" s="197"/>
      <c r="D5" s="197"/>
      <c r="E5" s="197"/>
      <c r="F5" s="197"/>
      <c r="G5" s="197"/>
    </row>
    <row r="6" spans="1:7" x14ac:dyDescent="0.3">
      <c r="A6" s="195" t="s">
        <v>2</v>
      </c>
      <c r="B6" s="197"/>
      <c r="C6" s="197"/>
      <c r="D6" s="197"/>
      <c r="E6" s="197"/>
      <c r="F6" s="197"/>
      <c r="G6" s="197"/>
    </row>
    <row r="7" spans="1:7" ht="62.4" x14ac:dyDescent="0.3">
      <c r="A7" s="232"/>
      <c r="B7" s="9" t="s">
        <v>4</v>
      </c>
      <c r="C7" s="9" t="s">
        <v>23</v>
      </c>
      <c r="D7" s="9" t="s">
        <v>6</v>
      </c>
      <c r="E7" s="9" t="s">
        <v>24</v>
      </c>
      <c r="F7" s="9" t="s">
        <v>74</v>
      </c>
      <c r="G7" s="9" t="s">
        <v>7</v>
      </c>
    </row>
    <row r="8" spans="1:7" ht="15.6" x14ac:dyDescent="0.3">
      <c r="A8" s="233"/>
      <c r="B8" s="11" t="s">
        <v>10</v>
      </c>
      <c r="C8" s="11" t="s">
        <v>10</v>
      </c>
      <c r="D8" s="11" t="s">
        <v>10</v>
      </c>
      <c r="E8" s="11" t="s">
        <v>10</v>
      </c>
      <c r="F8" s="11" t="s">
        <v>10</v>
      </c>
      <c r="G8" s="11" t="s">
        <v>10</v>
      </c>
    </row>
    <row r="9" spans="1:7" ht="33.6" customHeight="1" x14ac:dyDescent="0.3">
      <c r="A9" s="199" t="s">
        <v>38</v>
      </c>
      <c r="B9" s="215">
        <v>139852.67599999998</v>
      </c>
      <c r="C9" s="13"/>
      <c r="D9" s="13"/>
      <c r="E9" s="215">
        <f>SUM(45750+204501+64000+139663)</f>
        <v>453914</v>
      </c>
      <c r="F9" s="215"/>
      <c r="G9" s="215">
        <v>453914</v>
      </c>
    </row>
    <row r="10" spans="1:7" ht="21.6" customHeight="1" x14ac:dyDescent="0.3">
      <c r="A10" s="200" t="s">
        <v>39</v>
      </c>
      <c r="B10" s="215">
        <v>-386476.94837500004</v>
      </c>
      <c r="C10" s="216"/>
      <c r="D10" s="216"/>
      <c r="E10" s="215">
        <f>SUM(110340+91667+48833+16250+213750+335913)</f>
        <v>816753</v>
      </c>
      <c r="F10" s="215"/>
      <c r="G10" s="215">
        <v>816753</v>
      </c>
    </row>
    <row r="11" spans="1:7" ht="15.6" x14ac:dyDescent="0.3">
      <c r="A11" s="200" t="s">
        <v>40</v>
      </c>
      <c r="B11" s="215">
        <v>240039.89662499999</v>
      </c>
      <c r="C11" s="17"/>
      <c r="D11" s="17"/>
      <c r="E11" s="215">
        <f>SUM(500000+18500+114999+0)</f>
        <v>633499</v>
      </c>
      <c r="F11" s="215"/>
      <c r="G11" s="215">
        <v>633499</v>
      </c>
    </row>
    <row r="12" spans="1:7" ht="20.399999999999999" customHeight="1" x14ac:dyDescent="0.3">
      <c r="A12" s="201" t="s">
        <v>41</v>
      </c>
      <c r="B12" s="215">
        <v>1363805.0142916667</v>
      </c>
      <c r="C12" s="17"/>
      <c r="D12" s="17"/>
      <c r="E12" s="215">
        <f>SUM(492667+60000+74184+51000+33792+458988+12841)</f>
        <v>1183472</v>
      </c>
      <c r="F12" s="215"/>
      <c r="G12" s="215">
        <v>1183472</v>
      </c>
    </row>
    <row r="13" spans="1:7" ht="15.6" x14ac:dyDescent="0.3">
      <c r="A13" s="201" t="s">
        <v>42</v>
      </c>
      <c r="B13" s="215">
        <v>526674.80362499994</v>
      </c>
      <c r="C13" s="17"/>
      <c r="D13" s="17"/>
      <c r="E13" s="215">
        <f>SUM(252000+110729+334000+69000+29625+69400+126000)</f>
        <v>990754</v>
      </c>
      <c r="F13" s="215"/>
      <c r="G13" s="215">
        <v>990754</v>
      </c>
    </row>
    <row r="14" spans="1:7" ht="22.2" customHeight="1" x14ac:dyDescent="0.3">
      <c r="A14" s="201" t="s">
        <v>43</v>
      </c>
      <c r="B14" s="215">
        <v>1033811.0172916665</v>
      </c>
      <c r="C14" s="17"/>
      <c r="D14" s="17"/>
      <c r="E14" s="215">
        <f>SUM(261000+914318+362867+321667+52833+144127)</f>
        <v>2056812</v>
      </c>
      <c r="F14" s="215"/>
      <c r="G14" s="215">
        <v>2056812</v>
      </c>
    </row>
    <row r="15" spans="1:7" ht="20.399999999999999" customHeight="1" x14ac:dyDescent="0.3">
      <c r="A15" s="201" t="s">
        <v>44</v>
      </c>
      <c r="B15" s="215">
        <v>233594.11091666663</v>
      </c>
      <c r="C15" s="215"/>
      <c r="D15" s="215"/>
      <c r="E15" s="215">
        <f>SUM(93900+163333+51000+21739)</f>
        <v>329972</v>
      </c>
      <c r="F15" s="215"/>
      <c r="G15" s="215">
        <v>329972</v>
      </c>
    </row>
    <row r="16" spans="1:7" ht="17.399999999999999" customHeight="1" x14ac:dyDescent="0.3">
      <c r="A16" s="202" t="s">
        <v>45</v>
      </c>
      <c r="B16" s="215">
        <v>710703.2270833333</v>
      </c>
      <c r="C16" s="217"/>
      <c r="D16" s="215"/>
      <c r="E16" s="215">
        <f>SUM(180000+120000+67500+80000+15652)</f>
        <v>463152</v>
      </c>
      <c r="F16" s="215"/>
      <c r="G16" s="215">
        <v>463152</v>
      </c>
    </row>
    <row r="17" spans="1:8" ht="19.2" customHeight="1" x14ac:dyDescent="0.3">
      <c r="A17" s="202" t="s">
        <v>46</v>
      </c>
      <c r="B17" s="215">
        <v>2148605.2158750002</v>
      </c>
      <c r="C17" s="217"/>
      <c r="D17" s="215"/>
      <c r="E17" s="215">
        <f>SUM(183000+334375+1051497+128500+18125+202520)</f>
        <v>1918017</v>
      </c>
      <c r="F17" s="215"/>
      <c r="G17" s="215">
        <v>1918017</v>
      </c>
    </row>
    <row r="18" spans="1:8" ht="16.8" customHeight="1" x14ac:dyDescent="0.3">
      <c r="A18" s="202" t="s">
        <v>47</v>
      </c>
      <c r="B18" s="215">
        <v>780773.28195833333</v>
      </c>
      <c r="C18" s="142"/>
      <c r="D18" s="142"/>
      <c r="E18" s="215">
        <f>SUM(264000+75000+439904+150000+29271+16000)</f>
        <v>974175</v>
      </c>
      <c r="F18" s="215"/>
      <c r="G18" s="215">
        <v>974175</v>
      </c>
    </row>
    <row r="19" spans="1:8" ht="18.600000000000001" customHeight="1" x14ac:dyDescent="0.3">
      <c r="A19" s="201" t="s">
        <v>48</v>
      </c>
      <c r="B19" s="215">
        <v>223085.13383333333</v>
      </c>
      <c r="C19" s="215"/>
      <c r="D19" s="215"/>
      <c r="E19" s="215">
        <f>SUM(30000+19200+60000+2500+6400)</f>
        <v>118100</v>
      </c>
      <c r="F19" s="215"/>
      <c r="G19" s="215">
        <v>118100</v>
      </c>
    </row>
    <row r="20" spans="1:8" x14ac:dyDescent="0.3">
      <c r="A20" s="203" t="s">
        <v>49</v>
      </c>
      <c r="B20" s="215">
        <v>137081.66666666666</v>
      </c>
      <c r="C20" s="142"/>
      <c r="D20" s="142"/>
      <c r="E20" s="215">
        <v>40833</v>
      </c>
      <c r="F20" s="215"/>
      <c r="G20" s="215">
        <v>40833</v>
      </c>
    </row>
    <row r="21" spans="1:8" x14ac:dyDescent="0.3">
      <c r="A21" s="203" t="s">
        <v>50</v>
      </c>
      <c r="B21" s="215">
        <v>197461.88574999999</v>
      </c>
      <c r="C21" s="142"/>
      <c r="D21" s="142"/>
      <c r="E21" s="215">
        <f>SUM(157666+218333+107167+81134)</f>
        <v>564300</v>
      </c>
      <c r="F21" s="215"/>
      <c r="G21" s="215">
        <v>564300</v>
      </c>
    </row>
    <row r="22" spans="1:8" ht="22.2" customHeight="1" x14ac:dyDescent="0.3">
      <c r="A22" s="204" t="s">
        <v>51</v>
      </c>
      <c r="B22" s="215"/>
      <c r="C22" s="142"/>
      <c r="D22" s="142"/>
      <c r="E22" s="215">
        <v>217957</v>
      </c>
      <c r="F22" s="215"/>
      <c r="G22" s="215">
        <v>217957</v>
      </c>
    </row>
    <row r="23" spans="1:8" x14ac:dyDescent="0.3">
      <c r="A23" s="204" t="s">
        <v>52</v>
      </c>
      <c r="B23" s="215"/>
      <c r="C23" s="142"/>
      <c r="D23" s="142"/>
      <c r="E23" s="215">
        <v>217957</v>
      </c>
      <c r="F23" s="215"/>
      <c r="G23" s="215">
        <v>217957</v>
      </c>
    </row>
    <row r="24" spans="1:8" ht="19.8" customHeight="1" x14ac:dyDescent="0.3">
      <c r="A24" s="204" t="s">
        <v>53</v>
      </c>
      <c r="B24" s="215"/>
      <c r="C24" s="142"/>
      <c r="D24" s="142"/>
      <c r="E24" s="215">
        <v>1458333.33</v>
      </c>
      <c r="F24" s="215"/>
      <c r="G24" s="215">
        <v>1706041</v>
      </c>
    </row>
    <row r="25" spans="1:8" ht="19.2" customHeight="1" x14ac:dyDescent="0.3">
      <c r="A25" s="204" t="s">
        <v>19</v>
      </c>
      <c r="B25" s="215"/>
      <c r="C25" s="142"/>
      <c r="D25" s="142"/>
      <c r="E25" s="215">
        <v>1375000</v>
      </c>
      <c r="F25" s="215"/>
      <c r="G25" s="215">
        <v>1622708.04</v>
      </c>
    </row>
    <row r="26" spans="1:8" x14ac:dyDescent="0.3">
      <c r="A26" s="205" t="s">
        <v>54</v>
      </c>
      <c r="B26" s="215"/>
      <c r="C26" s="142"/>
      <c r="D26" s="142"/>
      <c r="E26" s="215">
        <v>133334</v>
      </c>
      <c r="F26" s="215"/>
      <c r="G26" s="215">
        <v>133334</v>
      </c>
    </row>
    <row r="27" spans="1:8" x14ac:dyDescent="0.3">
      <c r="A27" s="203" t="s">
        <v>55</v>
      </c>
      <c r="B27" s="215"/>
      <c r="C27" s="142"/>
      <c r="D27" s="142"/>
      <c r="E27" s="215">
        <v>133334</v>
      </c>
      <c r="F27" s="215"/>
      <c r="G27" s="215">
        <v>133334</v>
      </c>
    </row>
    <row r="28" spans="1:8" ht="23.4" customHeight="1" x14ac:dyDescent="0.3">
      <c r="A28" s="202" t="s">
        <v>56</v>
      </c>
      <c r="B28" s="215">
        <v>12152.653958333307</v>
      </c>
      <c r="C28" s="142"/>
      <c r="D28" s="142"/>
      <c r="E28" s="215">
        <f>SUM(193012.56+170916+108000+74520+60394+59371.04+123032)</f>
        <v>789245.60000000009</v>
      </c>
      <c r="F28" s="215"/>
      <c r="G28" s="215">
        <v>789245.60000000009</v>
      </c>
    </row>
    <row r="29" spans="1:8" ht="13.8" customHeight="1" x14ac:dyDescent="0.3">
      <c r="A29" s="206"/>
      <c r="B29" s="142"/>
      <c r="C29" s="142"/>
      <c r="D29" s="142"/>
      <c r="E29" s="218"/>
      <c r="F29" s="218"/>
      <c r="G29" s="142"/>
    </row>
    <row r="30" spans="1:8" s="38" customFormat="1" x14ac:dyDescent="0.3">
      <c r="A30" s="207" t="s">
        <v>21</v>
      </c>
      <c r="B30" s="219">
        <f>SUM(B9:B29)</f>
        <v>7361163.6355000008</v>
      </c>
      <c r="C30" s="220">
        <v>7986921</v>
      </c>
      <c r="D30" s="220">
        <v>15364329.635499999</v>
      </c>
      <c r="E30" s="221">
        <f>SUBTOTAL(9,E9:E28)</f>
        <v>14868913.93</v>
      </c>
      <c r="F30" s="221">
        <v>495416.32854347676</v>
      </c>
      <c r="G30" s="221">
        <f>SUM(G9:G29)</f>
        <v>15364329.639999999</v>
      </c>
      <c r="H30" s="41"/>
    </row>
    <row r="31" spans="1:8" s="38" customFormat="1" x14ac:dyDescent="0.3">
      <c r="A31" s="208"/>
      <c r="B31" s="219"/>
      <c r="C31" s="219"/>
      <c r="D31" s="219"/>
      <c r="E31" s="219"/>
      <c r="F31" s="219"/>
      <c r="G31" s="219"/>
    </row>
    <row r="32" spans="1:8" s="38" customFormat="1" ht="62.4" x14ac:dyDescent="0.3">
      <c r="A32" s="234" t="s">
        <v>22</v>
      </c>
      <c r="B32" s="9" t="s">
        <v>4</v>
      </c>
      <c r="C32" s="9" t="s">
        <v>23</v>
      </c>
      <c r="D32" s="9" t="s">
        <v>6</v>
      </c>
      <c r="E32" s="9" t="s">
        <v>24</v>
      </c>
      <c r="F32" s="9" t="s">
        <v>74</v>
      </c>
      <c r="G32" s="9" t="s">
        <v>7</v>
      </c>
    </row>
    <row r="33" spans="1:9" ht="15.6" x14ac:dyDescent="0.3">
      <c r="A33" s="235"/>
      <c r="B33" s="11" t="s">
        <v>10</v>
      </c>
      <c r="C33" s="11" t="s">
        <v>10</v>
      </c>
      <c r="D33" s="11" t="s">
        <v>10</v>
      </c>
      <c r="E33" s="11" t="s">
        <v>10</v>
      </c>
      <c r="F33" s="11" t="s">
        <v>10</v>
      </c>
      <c r="G33" s="11" t="s">
        <v>10</v>
      </c>
    </row>
    <row r="34" spans="1:9" x14ac:dyDescent="0.3">
      <c r="A34" s="209" t="s">
        <v>57</v>
      </c>
      <c r="B34" s="218"/>
      <c r="C34" s="215"/>
      <c r="D34" s="215"/>
      <c r="E34" s="218">
        <f>SUM(225000+675000+625000)</f>
        <v>1525000</v>
      </c>
      <c r="F34" s="218"/>
      <c r="G34" s="218">
        <v>1525000</v>
      </c>
    </row>
    <row r="35" spans="1:9" x14ac:dyDescent="0.3">
      <c r="A35" s="209" t="s">
        <v>38</v>
      </c>
      <c r="B35" s="218"/>
      <c r="C35" s="215"/>
      <c r="D35" s="215"/>
      <c r="E35" s="218"/>
      <c r="F35" s="218"/>
      <c r="G35" s="218"/>
    </row>
    <row r="36" spans="1:9" x14ac:dyDescent="0.3">
      <c r="A36" s="209" t="s">
        <v>58</v>
      </c>
      <c r="B36" s="218"/>
      <c r="C36" s="215"/>
      <c r="D36" s="215"/>
      <c r="E36" s="218"/>
      <c r="F36" s="218"/>
      <c r="G36" s="218"/>
    </row>
    <row r="37" spans="1:9" x14ac:dyDescent="0.3">
      <c r="A37" s="209" t="s">
        <v>50</v>
      </c>
      <c r="B37" s="218"/>
      <c r="C37" s="215"/>
      <c r="D37" s="215"/>
      <c r="E37" s="218">
        <f>SUM(550000+10000+580890+330000)</f>
        <v>1470890</v>
      </c>
      <c r="F37" s="218"/>
      <c r="G37" s="218">
        <v>1470890</v>
      </c>
      <c r="I37" s="5"/>
    </row>
    <row r="38" spans="1:9" x14ac:dyDescent="0.3">
      <c r="A38" s="209" t="s">
        <v>42</v>
      </c>
      <c r="B38" s="218"/>
      <c r="C38" s="215"/>
      <c r="D38" s="215"/>
      <c r="E38" s="218">
        <v>173310</v>
      </c>
      <c r="F38" s="218"/>
      <c r="G38" s="218">
        <v>173310</v>
      </c>
    </row>
    <row r="39" spans="1:9" ht="22.2" customHeight="1" x14ac:dyDescent="0.3">
      <c r="A39" s="206" t="s">
        <v>47</v>
      </c>
      <c r="B39" s="218"/>
      <c r="C39" s="215"/>
      <c r="D39" s="215"/>
      <c r="E39" s="218"/>
      <c r="F39" s="218"/>
      <c r="G39" s="218"/>
    </row>
    <row r="40" spans="1:9" x14ac:dyDescent="0.3">
      <c r="A40" s="210" t="s">
        <v>49</v>
      </c>
      <c r="B40" s="218"/>
      <c r="C40" s="215"/>
      <c r="D40" s="215"/>
      <c r="E40" s="218">
        <v>50000</v>
      </c>
      <c r="F40" s="218"/>
      <c r="G40" s="218">
        <v>50000</v>
      </c>
    </row>
    <row r="41" spans="1:9" x14ac:dyDescent="0.3">
      <c r="A41" s="209" t="s">
        <v>56</v>
      </c>
      <c r="B41" s="218"/>
      <c r="C41" s="220"/>
      <c r="D41" s="220"/>
      <c r="E41" s="218">
        <f>SUM(7500+31000+30000+50000)</f>
        <v>118500</v>
      </c>
      <c r="F41" s="218"/>
      <c r="G41" s="218">
        <v>118500</v>
      </c>
    </row>
    <row r="42" spans="1:9" ht="18.600000000000001" customHeight="1" x14ac:dyDescent="0.3">
      <c r="A42" s="206" t="s">
        <v>59</v>
      </c>
      <c r="B42" s="218"/>
      <c r="C42" s="215"/>
      <c r="D42" s="215"/>
      <c r="E42" s="218">
        <f>SUM(56600+10414+255592+218750)</f>
        <v>541356</v>
      </c>
      <c r="F42" s="218"/>
      <c r="G42" s="218">
        <v>541356</v>
      </c>
    </row>
    <row r="43" spans="1:9" ht="12" customHeight="1" x14ac:dyDescent="0.3">
      <c r="A43" s="39"/>
      <c r="B43" s="218"/>
      <c r="C43" s="218"/>
      <c r="D43" s="218"/>
      <c r="E43" s="218"/>
      <c r="F43" s="218"/>
      <c r="G43" s="218"/>
    </row>
    <row r="44" spans="1:9" s="38" customFormat="1" ht="15" thickBot="1" x14ac:dyDescent="0.35">
      <c r="A44" s="211" t="s">
        <v>21</v>
      </c>
      <c r="B44" s="221"/>
      <c r="C44" s="221"/>
      <c r="D44" s="221"/>
      <c r="E44" s="221"/>
      <c r="F44" s="221"/>
      <c r="G44" s="221"/>
    </row>
    <row r="45" spans="1:9" s="38" customFormat="1" ht="15" thickBot="1" x14ac:dyDescent="0.35">
      <c r="A45" s="40"/>
      <c r="B45" s="221">
        <v>0</v>
      </c>
      <c r="C45" s="221">
        <v>4356680</v>
      </c>
      <c r="D45" s="221">
        <v>4356680</v>
      </c>
      <c r="E45" s="221">
        <v>3879056</v>
      </c>
      <c r="F45" s="221">
        <v>477624</v>
      </c>
      <c r="G45" s="221">
        <v>3879056</v>
      </c>
    </row>
    <row r="46" spans="1:9" s="38" customFormat="1" ht="62.4" x14ac:dyDescent="0.3">
      <c r="A46" s="236" t="s">
        <v>25</v>
      </c>
      <c r="B46" s="9" t="s">
        <v>4</v>
      </c>
      <c r="C46" s="9" t="s">
        <v>23</v>
      </c>
      <c r="D46" s="9" t="s">
        <v>6</v>
      </c>
      <c r="E46" s="9" t="s">
        <v>24</v>
      </c>
      <c r="F46" s="9" t="s">
        <v>74</v>
      </c>
      <c r="G46" s="9" t="s">
        <v>7</v>
      </c>
    </row>
    <row r="47" spans="1:9" ht="15.6" x14ac:dyDescent="0.3">
      <c r="A47" s="237"/>
      <c r="B47" s="11" t="s">
        <v>10</v>
      </c>
      <c r="C47" s="11" t="s">
        <v>10</v>
      </c>
      <c r="D47" s="11" t="s">
        <v>10</v>
      </c>
      <c r="E47" s="11" t="s">
        <v>10</v>
      </c>
      <c r="F47" s="11" t="s">
        <v>10</v>
      </c>
      <c r="G47" s="11" t="s">
        <v>10</v>
      </c>
    </row>
    <row r="48" spans="1:9" x14ac:dyDescent="0.3">
      <c r="A48" s="212" t="s">
        <v>60</v>
      </c>
      <c r="B48" s="142"/>
      <c r="C48" s="220">
        <v>516000</v>
      </c>
      <c r="D48" s="220">
        <v>516000</v>
      </c>
      <c r="E48" s="219">
        <v>516000</v>
      </c>
      <c r="F48" s="221">
        <f>SUM(D48-E48)</f>
        <v>0</v>
      </c>
      <c r="G48" s="219">
        <v>516000</v>
      </c>
    </row>
    <row r="49" spans="1:7" ht="15.6" x14ac:dyDescent="0.3">
      <c r="A49" s="213"/>
      <c r="B49" s="142"/>
      <c r="C49" s="11"/>
      <c r="D49" s="11"/>
      <c r="E49" s="142"/>
      <c r="F49" s="142"/>
      <c r="G49" s="142"/>
    </row>
    <row r="50" spans="1:7" ht="15" thickBot="1" x14ac:dyDescent="0.35">
      <c r="A50" s="211" t="s">
        <v>21</v>
      </c>
      <c r="B50" s="142"/>
      <c r="C50" s="142"/>
      <c r="D50" s="142"/>
      <c r="E50" s="142"/>
      <c r="F50" s="142"/>
      <c r="G50" s="142"/>
    </row>
    <row r="51" spans="1:7" ht="15" thickBot="1" x14ac:dyDescent="0.35">
      <c r="A51" s="214"/>
      <c r="B51" s="142"/>
      <c r="C51" s="142"/>
      <c r="D51" s="142"/>
      <c r="E51" s="142"/>
      <c r="F51" s="142"/>
      <c r="G51" s="142"/>
    </row>
    <row r="52" spans="1:7" ht="62.4" x14ac:dyDescent="0.3">
      <c r="A52" s="230" t="s">
        <v>61</v>
      </c>
      <c r="B52" s="9" t="s">
        <v>4</v>
      </c>
      <c r="C52" s="9" t="s">
        <v>23</v>
      </c>
      <c r="D52" s="9" t="s">
        <v>6</v>
      </c>
      <c r="E52" s="9" t="s">
        <v>24</v>
      </c>
      <c r="F52" s="9" t="s">
        <v>74</v>
      </c>
      <c r="G52" s="9" t="s">
        <v>7</v>
      </c>
    </row>
    <row r="53" spans="1:7" ht="15.6" x14ac:dyDescent="0.3">
      <c r="A53" s="231"/>
      <c r="B53" s="11" t="s">
        <v>10</v>
      </c>
      <c r="C53" s="11" t="s">
        <v>10</v>
      </c>
      <c r="D53" s="11" t="s">
        <v>10</v>
      </c>
      <c r="E53" s="11" t="s">
        <v>10</v>
      </c>
      <c r="F53" s="11" t="s">
        <v>10</v>
      </c>
      <c r="G53" s="11" t="s">
        <v>10</v>
      </c>
    </row>
    <row r="54" spans="1:7" x14ac:dyDescent="0.3">
      <c r="A54" s="231"/>
      <c r="B54" s="226">
        <v>7361163.6454166677</v>
      </c>
      <c r="C54" s="226">
        <v>12859601</v>
      </c>
      <c r="D54" s="226">
        <v>20220764.649999999</v>
      </c>
      <c r="E54" s="226">
        <f>SUM(E30+E45+E48)</f>
        <v>19263969.93</v>
      </c>
      <c r="F54" s="226">
        <f>SUM(D54-E54)</f>
        <v>956794.71999999881</v>
      </c>
      <c r="G54" s="228">
        <f>SUM(G30+G45+G48)</f>
        <v>19759385.640000001</v>
      </c>
    </row>
    <row r="55" spans="1:7" x14ac:dyDescent="0.3">
      <c r="A55" s="231"/>
      <c r="B55" s="227"/>
      <c r="C55" s="227"/>
      <c r="D55" s="227"/>
      <c r="E55" s="227"/>
      <c r="F55" s="227"/>
      <c r="G55" s="229"/>
    </row>
    <row r="56" spans="1:7" x14ac:dyDescent="0.3">
      <c r="C56" s="5"/>
    </row>
    <row r="57" spans="1:7" s="223" customFormat="1" ht="15.6" x14ac:dyDescent="0.3">
      <c r="A57" s="222" t="s">
        <v>368</v>
      </c>
    </row>
    <row r="58" spans="1:7" s="225" customFormat="1" x14ac:dyDescent="0.3">
      <c r="A58" s="224" t="s">
        <v>369</v>
      </c>
    </row>
  </sheetData>
  <mergeCells count="12">
    <mergeCell ref="A7:A8"/>
    <mergeCell ref="A32:A33"/>
    <mergeCell ref="A46:A47"/>
    <mergeCell ref="B54:B55"/>
    <mergeCell ref="A57:XFD57"/>
    <mergeCell ref="A58:XFD58"/>
    <mergeCell ref="C54:C55"/>
    <mergeCell ref="D54:D55"/>
    <mergeCell ref="E54:E55"/>
    <mergeCell ref="F54:F55"/>
    <mergeCell ref="G54:G55"/>
    <mergeCell ref="A52:A5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EFDCB-AB51-491E-85B7-6C5FA32F9311}">
  <dimension ref="A1:F44"/>
  <sheetViews>
    <sheetView topLeftCell="A22" workbookViewId="0">
      <selection activeCell="A40" sqref="A40"/>
    </sheetView>
  </sheetViews>
  <sheetFormatPr defaultRowHeight="13.8" x14ac:dyDescent="0.25"/>
  <cols>
    <col min="1" max="1" width="26" style="42" customWidth="1"/>
    <col min="2" max="2" width="23.77734375" style="42" customWidth="1"/>
    <col min="3" max="3" width="19.109375" style="42" customWidth="1"/>
    <col min="4" max="4" width="17.44140625" style="42" customWidth="1"/>
    <col min="5" max="5" width="20" style="42" customWidth="1"/>
    <col min="6" max="6" width="22.88671875" style="42" customWidth="1"/>
    <col min="7" max="16384" width="8.88671875" style="42"/>
  </cols>
  <sheetData>
    <row r="1" spans="1:6" s="28" customFormat="1" ht="15.6" x14ac:dyDescent="0.3">
      <c r="A1" s="241" t="s">
        <v>35</v>
      </c>
      <c r="B1" s="242"/>
      <c r="C1" s="242"/>
      <c r="D1" s="242"/>
      <c r="E1" s="4"/>
    </row>
    <row r="2" spans="1:6" s="28" customFormat="1" ht="15.6" x14ac:dyDescent="0.3">
      <c r="A2" s="243" t="s">
        <v>62</v>
      </c>
      <c r="B2" s="244"/>
      <c r="C2" s="244"/>
      <c r="D2" s="244"/>
      <c r="E2" s="4"/>
    </row>
    <row r="3" spans="1:6" s="28" customFormat="1" ht="15.6" x14ac:dyDescent="0.3">
      <c r="A3" s="245" t="s">
        <v>63</v>
      </c>
      <c r="B3" s="246"/>
      <c r="C3" s="246"/>
      <c r="D3" s="246"/>
      <c r="E3" s="4"/>
    </row>
    <row r="4" spans="1:6" s="28" customFormat="1" ht="15.6" x14ac:dyDescent="0.3">
      <c r="A4" s="245" t="s">
        <v>64</v>
      </c>
      <c r="B4" s="246"/>
      <c r="C4" s="246"/>
      <c r="D4" s="246"/>
      <c r="E4" s="7"/>
    </row>
    <row r="5" spans="1:6" ht="15.6" x14ac:dyDescent="0.3">
      <c r="A5" s="243" t="s">
        <v>65</v>
      </c>
      <c r="B5" s="244"/>
      <c r="C5" s="244"/>
      <c r="D5" s="244"/>
      <c r="E5" s="37"/>
      <c r="F5" s="28"/>
    </row>
    <row r="6" spans="1:6" ht="15.6" x14ac:dyDescent="0.3">
      <c r="A6" s="43" t="s">
        <v>66</v>
      </c>
      <c r="B6" s="44"/>
      <c r="C6" s="45"/>
      <c r="D6" s="46"/>
      <c r="E6" s="37"/>
      <c r="F6" s="28"/>
    </row>
    <row r="7" spans="1:6" x14ac:dyDescent="0.25">
      <c r="A7" s="48" t="s">
        <v>67</v>
      </c>
      <c r="B7" s="49"/>
      <c r="C7" s="35"/>
      <c r="D7" s="50"/>
      <c r="E7" s="37"/>
      <c r="F7" s="28"/>
    </row>
    <row r="8" spans="1:6" ht="31.2" x14ac:dyDescent="0.25">
      <c r="A8" s="249" t="s">
        <v>3</v>
      </c>
      <c r="B8" s="9" t="s">
        <v>4</v>
      </c>
      <c r="C8" s="9" t="s">
        <v>23</v>
      </c>
      <c r="D8" s="9" t="s">
        <v>6</v>
      </c>
      <c r="E8" s="9" t="s">
        <v>24</v>
      </c>
      <c r="F8" s="9" t="s">
        <v>7</v>
      </c>
    </row>
    <row r="9" spans="1:6" ht="15.6" x14ac:dyDescent="0.3">
      <c r="A9" s="250"/>
      <c r="B9" s="11" t="s">
        <v>10</v>
      </c>
      <c r="C9" s="11" t="s">
        <v>10</v>
      </c>
      <c r="D9" s="11" t="s">
        <v>10</v>
      </c>
      <c r="E9" s="11" t="s">
        <v>10</v>
      </c>
      <c r="F9" s="11" t="s">
        <v>10</v>
      </c>
    </row>
    <row r="10" spans="1:6" x14ac:dyDescent="0.25">
      <c r="A10" s="51" t="s">
        <v>38</v>
      </c>
      <c r="B10" s="52">
        <v>786.67</v>
      </c>
      <c r="C10" s="53"/>
      <c r="D10" s="54"/>
      <c r="E10" s="55">
        <v>204501</v>
      </c>
      <c r="F10" s="55">
        <v>204501</v>
      </c>
    </row>
    <row r="11" spans="1:6" x14ac:dyDescent="0.25">
      <c r="A11" s="56" t="s">
        <v>39</v>
      </c>
      <c r="B11" s="52">
        <v>-191680.3</v>
      </c>
      <c r="C11" s="57"/>
      <c r="D11" s="54"/>
      <c r="E11" s="55">
        <v>91667</v>
      </c>
      <c r="F11" s="55">
        <v>91667</v>
      </c>
    </row>
    <row r="12" spans="1:6" x14ac:dyDescent="0.25">
      <c r="A12" s="58" t="s">
        <v>71</v>
      </c>
      <c r="B12" s="52">
        <v>67345.75</v>
      </c>
      <c r="C12" s="59"/>
      <c r="D12" s="54"/>
      <c r="E12" s="55">
        <v>114999</v>
      </c>
      <c r="F12" s="55">
        <v>114999</v>
      </c>
    </row>
    <row r="13" spans="1:6" x14ac:dyDescent="0.25">
      <c r="A13" s="60" t="s">
        <v>41</v>
      </c>
      <c r="B13" s="61">
        <v>139869.37</v>
      </c>
      <c r="C13" s="62"/>
      <c r="D13" s="54"/>
      <c r="E13" s="55">
        <v>74184</v>
      </c>
      <c r="F13" s="55">
        <v>74184</v>
      </c>
    </row>
    <row r="14" spans="1:6" x14ac:dyDescent="0.25">
      <c r="A14" s="60" t="s">
        <v>42</v>
      </c>
      <c r="B14" s="61">
        <v>46119.7</v>
      </c>
      <c r="C14" s="62"/>
      <c r="D14" s="54"/>
      <c r="E14" s="55">
        <v>334000</v>
      </c>
      <c r="F14" s="55">
        <v>334000</v>
      </c>
    </row>
    <row r="15" spans="1:6" x14ac:dyDescent="0.25">
      <c r="A15" s="60" t="s">
        <v>72</v>
      </c>
      <c r="B15" s="61">
        <v>188851.04</v>
      </c>
      <c r="C15" s="62"/>
      <c r="D15" s="54"/>
      <c r="E15" s="55">
        <v>362866.83333333302</v>
      </c>
      <c r="F15" s="55">
        <v>362866.83333333302</v>
      </c>
    </row>
    <row r="16" spans="1:6" x14ac:dyDescent="0.25">
      <c r="A16" s="60" t="s">
        <v>44</v>
      </c>
      <c r="B16" s="61">
        <v>-7970</v>
      </c>
      <c r="C16" s="62"/>
      <c r="D16" s="54"/>
      <c r="E16" s="55">
        <v>0</v>
      </c>
      <c r="F16" s="55">
        <v>0</v>
      </c>
    </row>
    <row r="17" spans="1:6" x14ac:dyDescent="0.25">
      <c r="A17" s="63" t="s">
        <v>45</v>
      </c>
      <c r="B17" s="61">
        <v>35939.660000000003</v>
      </c>
      <c r="C17" s="62"/>
      <c r="D17" s="54"/>
      <c r="E17" s="55">
        <v>0</v>
      </c>
      <c r="F17" s="55">
        <v>0</v>
      </c>
    </row>
    <row r="18" spans="1:6" x14ac:dyDescent="0.25">
      <c r="A18" s="63" t="s">
        <v>46</v>
      </c>
      <c r="B18" s="61">
        <v>418162.53</v>
      </c>
      <c r="C18" s="62"/>
      <c r="D18" s="54"/>
      <c r="E18" s="55">
        <v>1051497</v>
      </c>
      <c r="F18" s="55">
        <v>1051497</v>
      </c>
    </row>
    <row r="19" spans="1:6" x14ac:dyDescent="0.25">
      <c r="A19" s="63" t="s">
        <v>47</v>
      </c>
      <c r="B19" s="61">
        <v>33313.18</v>
      </c>
      <c r="C19" s="62"/>
      <c r="D19" s="54"/>
      <c r="E19" s="55">
        <v>439904.33333333302</v>
      </c>
      <c r="F19" s="55">
        <v>439904.33333333302</v>
      </c>
    </row>
    <row r="20" spans="1:6" x14ac:dyDescent="0.25">
      <c r="A20" s="60" t="s">
        <v>48</v>
      </c>
      <c r="B20" s="61">
        <v>21625</v>
      </c>
      <c r="C20" s="62"/>
      <c r="D20" s="54"/>
      <c r="E20" s="55">
        <v>60000</v>
      </c>
      <c r="F20" s="55">
        <v>60000</v>
      </c>
    </row>
    <row r="21" spans="1:6" x14ac:dyDescent="0.25">
      <c r="A21" s="64" t="s">
        <v>49</v>
      </c>
      <c r="B21" s="52">
        <v>137081.67000000001</v>
      </c>
      <c r="C21" s="62"/>
      <c r="D21" s="54"/>
      <c r="E21" s="55">
        <v>40833.333333333299</v>
      </c>
      <c r="F21" s="55">
        <v>40833.333333333299</v>
      </c>
    </row>
    <row r="22" spans="1:6" x14ac:dyDescent="0.25">
      <c r="A22" s="65" t="s">
        <v>50</v>
      </c>
      <c r="B22" s="52">
        <v>185849.91</v>
      </c>
      <c r="C22" s="66"/>
      <c r="D22" s="54"/>
      <c r="E22" s="55">
        <v>218333</v>
      </c>
      <c r="F22" s="55">
        <v>218333</v>
      </c>
    </row>
    <row r="23" spans="1:6" x14ac:dyDescent="0.25">
      <c r="A23" s="63" t="s">
        <v>56</v>
      </c>
      <c r="B23" s="61">
        <v>-194726.89</v>
      </c>
      <c r="C23" s="66"/>
      <c r="D23" s="54"/>
      <c r="E23" s="55">
        <v>108000</v>
      </c>
      <c r="F23" s="55">
        <v>108000</v>
      </c>
    </row>
    <row r="24" spans="1:6" ht="26.4" x14ac:dyDescent="0.25">
      <c r="A24" s="63" t="s">
        <v>73</v>
      </c>
      <c r="B24" s="61">
        <v>0</v>
      </c>
      <c r="C24" s="67"/>
      <c r="D24" s="54"/>
      <c r="E24" s="55">
        <v>133334</v>
      </c>
      <c r="F24" s="55">
        <v>133334</v>
      </c>
    </row>
    <row r="25" spans="1:6" x14ac:dyDescent="0.25">
      <c r="A25" s="63" t="s">
        <v>54</v>
      </c>
      <c r="B25" s="61">
        <v>0</v>
      </c>
      <c r="C25" s="67"/>
      <c r="D25" s="54"/>
      <c r="E25" s="55">
        <v>133334</v>
      </c>
      <c r="F25" s="55">
        <v>133334</v>
      </c>
    </row>
    <row r="26" spans="1:6" s="68" customFormat="1" ht="15.6" x14ac:dyDescent="0.3">
      <c r="A26" s="21" t="s">
        <v>21</v>
      </c>
      <c r="B26" s="21">
        <v>880567.28666666674</v>
      </c>
      <c r="C26" s="31">
        <v>2274725.0649599982</v>
      </c>
      <c r="D26" s="21">
        <f>SUM(B26:C26)</f>
        <v>3155292.3516266649</v>
      </c>
      <c r="E26" s="21">
        <v>3367453.4999999995</v>
      </c>
      <c r="F26" s="21">
        <v>3367453.4999999995</v>
      </c>
    </row>
    <row r="27" spans="1:6" x14ac:dyDescent="0.25">
      <c r="A27" s="36"/>
      <c r="B27" s="69"/>
      <c r="C27" s="70"/>
      <c r="D27" s="70"/>
      <c r="E27" s="71"/>
    </row>
    <row r="28" spans="1:6" ht="31.2" x14ac:dyDescent="0.25">
      <c r="A28" s="247" t="s">
        <v>22</v>
      </c>
      <c r="B28" s="9" t="s">
        <v>4</v>
      </c>
      <c r="C28" s="9" t="s">
        <v>23</v>
      </c>
      <c r="D28" s="9" t="s">
        <v>6</v>
      </c>
      <c r="E28" s="9" t="s">
        <v>24</v>
      </c>
      <c r="F28" s="9" t="s">
        <v>7</v>
      </c>
    </row>
    <row r="29" spans="1:6" ht="15.6" x14ac:dyDescent="0.3">
      <c r="A29" s="248"/>
      <c r="B29" s="11" t="s">
        <v>10</v>
      </c>
      <c r="C29" s="11" t="s">
        <v>10</v>
      </c>
      <c r="D29" s="11" t="s">
        <v>10</v>
      </c>
      <c r="E29" s="11" t="s">
        <v>10</v>
      </c>
      <c r="F29" s="11" t="s">
        <v>10</v>
      </c>
    </row>
    <row r="30" spans="1:6" x14ac:dyDescent="0.25">
      <c r="A30" s="72" t="s">
        <v>57</v>
      </c>
      <c r="B30" s="34">
        <v>0</v>
      </c>
      <c r="C30" s="34">
        <f>'[1]4. Multi Year RCS. Components'!H61+'[1]4. Multi Year RCS. Components'!H547</f>
        <v>0</v>
      </c>
      <c r="D30" s="34">
        <f>SUM(C30:C30)</f>
        <v>0</v>
      </c>
      <c r="E30" s="34">
        <v>0</v>
      </c>
      <c r="F30" s="34">
        <v>0</v>
      </c>
    </row>
    <row r="31" spans="1:6" x14ac:dyDescent="0.25">
      <c r="A31" s="72" t="s">
        <v>38</v>
      </c>
      <c r="B31" s="34">
        <v>0</v>
      </c>
      <c r="C31" s="34">
        <f>'[1]4. Multi Year RCS. Components'!H73+'[1]4. Multi Year RCS. Components'!H551</f>
        <v>0</v>
      </c>
      <c r="D31" s="34">
        <f>SUM(C31:C31)</f>
        <v>0</v>
      </c>
      <c r="E31" s="34">
        <v>0</v>
      </c>
      <c r="F31" s="34">
        <v>0</v>
      </c>
    </row>
    <row r="32" spans="1:6" x14ac:dyDescent="0.25">
      <c r="A32" s="72" t="s">
        <v>58</v>
      </c>
      <c r="B32" s="34">
        <v>0</v>
      </c>
      <c r="C32" s="34">
        <f>'[1]4. Multi Year RCS. Components'!H77+'[1]4. Multi Year RCS. Components'!H555</f>
        <v>0</v>
      </c>
      <c r="D32" s="34">
        <f>SUM(C32:C32)</f>
        <v>0</v>
      </c>
      <c r="E32" s="34">
        <v>0</v>
      </c>
      <c r="F32" s="34">
        <v>0</v>
      </c>
    </row>
    <row r="33" spans="1:6" x14ac:dyDescent="0.25">
      <c r="A33" s="72" t="s">
        <v>50</v>
      </c>
      <c r="B33" s="34">
        <v>0</v>
      </c>
      <c r="C33" s="34">
        <v>200000</v>
      </c>
      <c r="D33" s="34">
        <f>SUM(C33:C33)</f>
        <v>200000</v>
      </c>
      <c r="E33" s="34">
        <v>0</v>
      </c>
      <c r="F33" s="34">
        <v>0</v>
      </c>
    </row>
    <row r="34" spans="1:6" x14ac:dyDescent="0.25">
      <c r="A34" s="72" t="s">
        <v>56</v>
      </c>
      <c r="B34" s="34">
        <v>0</v>
      </c>
      <c r="C34" s="34">
        <v>60000</v>
      </c>
      <c r="D34" s="34">
        <f>SUM(C34:C34)</f>
        <v>60000</v>
      </c>
      <c r="E34" s="34">
        <v>0</v>
      </c>
      <c r="F34" s="34">
        <v>0</v>
      </c>
    </row>
    <row r="35" spans="1:6" ht="15.6" x14ac:dyDescent="0.3">
      <c r="A35" s="3" t="s">
        <v>21</v>
      </c>
      <c r="B35" s="73">
        <f>SUM(B30:B34)</f>
        <v>0</v>
      </c>
      <c r="C35" s="73">
        <f>SUM(C30:C34)</f>
        <v>260000</v>
      </c>
      <c r="D35" s="73">
        <f>SUM(D30:D34)</f>
        <v>260000</v>
      </c>
      <c r="E35" s="73">
        <f>SUM(E30:E34)</f>
        <v>0</v>
      </c>
      <c r="F35" s="73">
        <f>SUM(F30:F34)</f>
        <v>0</v>
      </c>
    </row>
    <row r="36" spans="1:6" x14ac:dyDescent="0.25">
      <c r="A36" s="74"/>
      <c r="B36" s="36"/>
      <c r="C36" s="75"/>
      <c r="D36" s="34"/>
      <c r="E36" s="76"/>
    </row>
    <row r="37" spans="1:6" ht="31.2" x14ac:dyDescent="0.25">
      <c r="A37" s="238" t="s">
        <v>25</v>
      </c>
      <c r="B37" s="1" t="s">
        <v>68</v>
      </c>
      <c r="C37" s="1" t="s">
        <v>69</v>
      </c>
      <c r="D37" s="1" t="s">
        <v>70</v>
      </c>
      <c r="E37" s="9" t="s">
        <v>24</v>
      </c>
      <c r="F37" s="9" t="s">
        <v>7</v>
      </c>
    </row>
    <row r="38" spans="1:6" ht="15.6" x14ac:dyDescent="0.3">
      <c r="A38" s="239"/>
      <c r="B38" s="2" t="s">
        <v>10</v>
      </c>
      <c r="C38" s="2" t="s">
        <v>11</v>
      </c>
      <c r="D38" s="2" t="s">
        <v>11</v>
      </c>
      <c r="E38" s="47" t="s">
        <v>10</v>
      </c>
    </row>
    <row r="39" spans="1:6" x14ac:dyDescent="0.25">
      <c r="A39" s="77" t="s">
        <v>25</v>
      </c>
      <c r="B39" s="78">
        <v>0</v>
      </c>
      <c r="C39" s="34">
        <f>'[1]4. Multi Year RCS. Components'!H30+'[1]4. Multi Year RCS. Components'!H123+'[1]4. Multi Year RCS. Components'!H194+'[1]4. Multi Year RCS. Components'!H258+'[1]4. Multi Year RCS. Components'!H326+'[1]4. Multi Year RCS. Components'!H396+'[1]4. Multi Year RCS. Components'!H459+'[1]4. Multi Year RCS. Components'!H520</f>
        <v>0</v>
      </c>
      <c r="D39" s="75">
        <f>SUM(C39:C39)</f>
        <v>0</v>
      </c>
      <c r="E39" s="75">
        <f t="shared" ref="E39:F39" si="0">SUM(D39:D39)</f>
        <v>0</v>
      </c>
      <c r="F39" s="75">
        <f t="shared" si="0"/>
        <v>0</v>
      </c>
    </row>
    <row r="40" spans="1:6" ht="15.6" x14ac:dyDescent="0.3">
      <c r="A40" s="3" t="s">
        <v>21</v>
      </c>
      <c r="B40" s="3">
        <v>0</v>
      </c>
      <c r="C40" s="73">
        <f>SUM(C39)</f>
        <v>0</v>
      </c>
      <c r="D40" s="73">
        <f>SUM(D39)</f>
        <v>0</v>
      </c>
      <c r="E40" s="73">
        <f t="shared" ref="E40:F40" si="1">SUM(E39)</f>
        <v>0</v>
      </c>
      <c r="F40" s="73">
        <f t="shared" si="1"/>
        <v>0</v>
      </c>
    </row>
    <row r="41" spans="1:6" ht="15.6" x14ac:dyDescent="0.3">
      <c r="A41" s="79"/>
      <c r="B41" s="79"/>
      <c r="C41" s="80"/>
      <c r="D41" s="80"/>
      <c r="E41" s="81"/>
    </row>
    <row r="42" spans="1:6" ht="31.2" x14ac:dyDescent="0.25">
      <c r="A42" s="240" t="s">
        <v>28</v>
      </c>
      <c r="B42" s="1" t="s">
        <v>68</v>
      </c>
      <c r="C42" s="1" t="s">
        <v>69</v>
      </c>
      <c r="D42" s="1" t="s">
        <v>70</v>
      </c>
      <c r="E42" s="9" t="s">
        <v>24</v>
      </c>
      <c r="F42" s="9" t="s">
        <v>7</v>
      </c>
    </row>
    <row r="43" spans="1:6" ht="15.6" x14ac:dyDescent="0.3">
      <c r="A43" s="240"/>
      <c r="B43" s="2" t="s">
        <v>10</v>
      </c>
      <c r="C43" s="2" t="s">
        <v>11</v>
      </c>
      <c r="D43" s="2" t="s">
        <v>11</v>
      </c>
      <c r="E43" s="47" t="s">
        <v>10</v>
      </c>
      <c r="F43" s="47" t="s">
        <v>10</v>
      </c>
    </row>
    <row r="44" spans="1:6" ht="17.399999999999999" x14ac:dyDescent="0.3">
      <c r="A44" s="240"/>
      <c r="B44" s="82">
        <f>B26+B35+B40</f>
        <v>880567.28666666674</v>
      </c>
      <c r="C44" s="82">
        <v>2534725</v>
      </c>
      <c r="D44" s="82">
        <f>D26+D35+D40</f>
        <v>3415292.3516266649</v>
      </c>
      <c r="E44" s="82">
        <f>F26+E35+E40</f>
        <v>3367453.4999999995</v>
      </c>
      <c r="F44" s="82">
        <v>3367453.4999999995</v>
      </c>
    </row>
  </sheetData>
  <mergeCells count="9">
    <mergeCell ref="A37:A38"/>
    <mergeCell ref="A42:A44"/>
    <mergeCell ref="A1:D1"/>
    <mergeCell ref="A2:D2"/>
    <mergeCell ref="A3:D3"/>
    <mergeCell ref="A4:D4"/>
    <mergeCell ref="A5:D5"/>
    <mergeCell ref="A28:A29"/>
    <mergeCell ref="A8:A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41498-7441-49CC-8BCE-05319356FDC9}">
  <dimension ref="A1:F35"/>
  <sheetViews>
    <sheetView topLeftCell="C8" workbookViewId="0">
      <selection activeCell="F38" sqref="F38"/>
    </sheetView>
  </sheetViews>
  <sheetFormatPr defaultRowHeight="13.8" x14ac:dyDescent="0.25"/>
  <cols>
    <col min="1" max="1" width="10.44140625" style="28" customWidth="1"/>
    <col min="2" max="2" width="25.21875" style="28" customWidth="1"/>
    <col min="3" max="3" width="23.88671875" style="28" customWidth="1"/>
    <col min="4" max="4" width="11.21875" style="28" customWidth="1"/>
    <col min="5" max="5" width="15.88671875" style="28" customWidth="1"/>
    <col min="6" max="6" width="19.6640625" style="28" customWidth="1"/>
    <col min="7" max="16384" width="8.88671875" style="28"/>
  </cols>
  <sheetData>
    <row r="1" spans="1:6" hidden="1" x14ac:dyDescent="0.25">
      <c r="A1" s="28" t="s">
        <v>31</v>
      </c>
      <c r="B1" s="28" t="s">
        <v>32</v>
      </c>
      <c r="C1" s="28" t="s">
        <v>33</v>
      </c>
      <c r="D1" s="28" t="s">
        <v>34</v>
      </c>
      <c r="E1" s="28" t="s">
        <v>249</v>
      </c>
      <c r="F1" s="28" t="s">
        <v>279</v>
      </c>
    </row>
    <row r="2" spans="1:6" x14ac:dyDescent="0.25">
      <c r="A2" s="28" t="s">
        <v>35</v>
      </c>
    </row>
    <row r="3" spans="1:6" x14ac:dyDescent="0.25">
      <c r="A3" s="28" t="s">
        <v>323</v>
      </c>
    </row>
    <row r="4" spans="1:6" x14ac:dyDescent="0.25">
      <c r="A4" s="28" t="s">
        <v>37</v>
      </c>
    </row>
    <row r="5" spans="1:6" x14ac:dyDescent="0.25">
      <c r="A5" s="28" t="s">
        <v>0</v>
      </c>
    </row>
    <row r="6" spans="1:6" x14ac:dyDescent="0.25">
      <c r="A6" s="28" t="s">
        <v>1</v>
      </c>
    </row>
    <row r="7" spans="1:6" x14ac:dyDescent="0.25">
      <c r="A7" s="28" t="s">
        <v>2</v>
      </c>
    </row>
    <row r="8" spans="1:6" x14ac:dyDescent="0.25">
      <c r="A8" s="28" t="s">
        <v>324</v>
      </c>
      <c r="B8" s="28" t="s">
        <v>229</v>
      </c>
      <c r="C8" s="28" t="s">
        <v>325</v>
      </c>
      <c r="D8" s="28" t="s">
        <v>326</v>
      </c>
      <c r="E8" s="28" t="s">
        <v>327</v>
      </c>
      <c r="F8" s="28" t="s">
        <v>328</v>
      </c>
    </row>
    <row r="9" spans="1:6" x14ac:dyDescent="0.25">
      <c r="A9" s="28">
        <v>1</v>
      </c>
      <c r="B9" s="28" t="s">
        <v>329</v>
      </c>
      <c r="C9" s="28" t="s">
        <v>330</v>
      </c>
      <c r="D9" s="28">
        <v>4</v>
      </c>
      <c r="E9" s="28">
        <v>66666.666666666672</v>
      </c>
      <c r="F9" s="28">
        <v>16000000</v>
      </c>
    </row>
    <row r="10" spans="1:6" x14ac:dyDescent="0.25">
      <c r="A10" s="28">
        <v>2</v>
      </c>
      <c r="B10" s="28" t="s">
        <v>331</v>
      </c>
      <c r="C10" s="28" t="s">
        <v>332</v>
      </c>
      <c r="D10" s="28">
        <v>2</v>
      </c>
      <c r="E10" s="28">
        <v>291666.66666666669</v>
      </c>
      <c r="F10" s="28">
        <v>70000000</v>
      </c>
    </row>
    <row r="11" spans="1:6" x14ac:dyDescent="0.25">
      <c r="C11" s="28" t="s">
        <v>333</v>
      </c>
      <c r="D11" s="28">
        <v>2</v>
      </c>
      <c r="E11" s="28">
        <v>250000</v>
      </c>
      <c r="F11" s="28">
        <v>60000000</v>
      </c>
    </row>
    <row r="12" spans="1:6" x14ac:dyDescent="0.25">
      <c r="C12" s="28" t="s">
        <v>334</v>
      </c>
      <c r="D12" s="28">
        <v>2</v>
      </c>
      <c r="E12" s="28">
        <v>250000</v>
      </c>
      <c r="F12" s="28">
        <v>60000000</v>
      </c>
    </row>
    <row r="13" spans="1:6" x14ac:dyDescent="0.25">
      <c r="A13" s="28">
        <v>3</v>
      </c>
      <c r="B13" s="28" t="s">
        <v>335</v>
      </c>
      <c r="C13" s="28" t="s">
        <v>336</v>
      </c>
      <c r="D13" s="28">
        <v>1</v>
      </c>
      <c r="E13" s="28">
        <v>208333.33333333334</v>
      </c>
      <c r="F13" s="28">
        <v>50000000</v>
      </c>
    </row>
    <row r="14" spans="1:6" x14ac:dyDescent="0.25">
      <c r="A14" s="28">
        <v>4</v>
      </c>
      <c r="B14" s="28" t="s">
        <v>337</v>
      </c>
      <c r="C14" s="28" t="s">
        <v>338</v>
      </c>
      <c r="D14" s="28">
        <v>4</v>
      </c>
      <c r="E14" s="28">
        <v>41666.666666666664</v>
      </c>
      <c r="F14" s="28">
        <v>10000000</v>
      </c>
    </row>
    <row r="15" spans="1:6" x14ac:dyDescent="0.25">
      <c r="A15" s="28">
        <v>5</v>
      </c>
      <c r="B15" s="28" t="s">
        <v>339</v>
      </c>
      <c r="C15" s="28" t="s">
        <v>340</v>
      </c>
      <c r="E15" s="28">
        <v>125000</v>
      </c>
      <c r="F15" s="28">
        <v>30000000</v>
      </c>
    </row>
    <row r="16" spans="1:6" x14ac:dyDescent="0.25">
      <c r="A16" s="28">
        <v>6</v>
      </c>
      <c r="B16" s="28" t="s">
        <v>341</v>
      </c>
      <c r="C16" s="28" t="s">
        <v>342</v>
      </c>
      <c r="D16" s="28">
        <v>4</v>
      </c>
      <c r="E16" s="28">
        <v>25000</v>
      </c>
      <c r="F16" s="28">
        <v>6000000</v>
      </c>
    </row>
    <row r="17" spans="1:6" x14ac:dyDescent="0.25">
      <c r="C17" s="28" t="s">
        <v>343</v>
      </c>
      <c r="D17" s="28">
        <v>1</v>
      </c>
      <c r="E17" s="28">
        <v>18750</v>
      </c>
      <c r="F17" s="28">
        <v>4500000</v>
      </c>
    </row>
    <row r="18" spans="1:6" x14ac:dyDescent="0.25">
      <c r="A18" s="28">
        <v>7</v>
      </c>
      <c r="B18" s="28" t="s">
        <v>344</v>
      </c>
      <c r="C18" s="28" t="s">
        <v>345</v>
      </c>
      <c r="D18" s="28">
        <v>1</v>
      </c>
      <c r="E18" s="28">
        <v>6250</v>
      </c>
      <c r="F18" s="28">
        <v>1500000</v>
      </c>
    </row>
    <row r="19" spans="1:6" x14ac:dyDescent="0.25">
      <c r="A19" s="28">
        <v>8</v>
      </c>
      <c r="B19" s="28" t="s">
        <v>346</v>
      </c>
      <c r="C19" s="28" t="s">
        <v>347</v>
      </c>
      <c r="E19" s="28">
        <v>35416.666666666664</v>
      </c>
      <c r="F19" s="28">
        <v>8500000</v>
      </c>
    </row>
    <row r="20" spans="1:6" x14ac:dyDescent="0.25">
      <c r="C20" s="28" t="s">
        <v>348</v>
      </c>
      <c r="E20" s="28">
        <v>833.33333333333337</v>
      </c>
      <c r="F20" s="28">
        <v>200000</v>
      </c>
    </row>
    <row r="21" spans="1:6" x14ac:dyDescent="0.25">
      <c r="C21" s="28" t="s">
        <v>349</v>
      </c>
      <c r="E21" s="28">
        <v>625</v>
      </c>
      <c r="F21" s="28">
        <v>150000</v>
      </c>
    </row>
    <row r="22" spans="1:6" x14ac:dyDescent="0.25">
      <c r="A22" s="28">
        <v>9</v>
      </c>
      <c r="B22" s="28" t="s">
        <v>350</v>
      </c>
      <c r="C22" s="28" t="s">
        <v>351</v>
      </c>
      <c r="D22" s="28">
        <v>1</v>
      </c>
      <c r="E22" s="28">
        <v>2083.3333333333335</v>
      </c>
      <c r="F22" s="28">
        <v>500000</v>
      </c>
    </row>
    <row r="23" spans="1:6" x14ac:dyDescent="0.25">
      <c r="C23" s="28" t="s">
        <v>352</v>
      </c>
      <c r="D23" s="28">
        <v>1</v>
      </c>
      <c r="E23" s="28">
        <v>1041.6666666666667</v>
      </c>
      <c r="F23" s="28">
        <v>250000</v>
      </c>
    </row>
    <row r="24" spans="1:6" x14ac:dyDescent="0.25">
      <c r="C24" s="28" t="s">
        <v>353</v>
      </c>
      <c r="D24" s="28">
        <v>1</v>
      </c>
      <c r="E24" s="28">
        <v>1458.3333333333333</v>
      </c>
      <c r="F24" s="28">
        <v>350000</v>
      </c>
    </row>
    <row r="25" spans="1:6" x14ac:dyDescent="0.25">
      <c r="A25" s="28">
        <v>10</v>
      </c>
      <c r="B25" s="28" t="s">
        <v>354</v>
      </c>
      <c r="C25" s="28" t="s">
        <v>355</v>
      </c>
      <c r="D25" s="28">
        <v>2</v>
      </c>
      <c r="E25" s="28">
        <v>1250</v>
      </c>
      <c r="F25" s="28">
        <v>300000</v>
      </c>
    </row>
    <row r="26" spans="1:6" x14ac:dyDescent="0.25">
      <c r="C26" s="28" t="s">
        <v>356</v>
      </c>
      <c r="D26" s="28">
        <v>2</v>
      </c>
      <c r="E26" s="28">
        <v>833.33333333333337</v>
      </c>
      <c r="F26" s="28">
        <v>200000</v>
      </c>
    </row>
    <row r="27" spans="1:6" x14ac:dyDescent="0.25">
      <c r="C27" s="28" t="s">
        <v>357</v>
      </c>
      <c r="D27" s="28">
        <v>10</v>
      </c>
      <c r="E27" s="28">
        <v>1250</v>
      </c>
      <c r="F27" s="28">
        <v>300000</v>
      </c>
    </row>
    <row r="28" spans="1:6" x14ac:dyDescent="0.25">
      <c r="C28" s="28" t="s">
        <v>358</v>
      </c>
      <c r="D28" s="28">
        <v>10</v>
      </c>
      <c r="E28" s="28">
        <v>2083.3333333333335</v>
      </c>
      <c r="F28" s="28">
        <v>500000</v>
      </c>
    </row>
    <row r="29" spans="1:6" x14ac:dyDescent="0.25">
      <c r="C29" s="28" t="s">
        <v>359</v>
      </c>
      <c r="D29" s="28">
        <v>1</v>
      </c>
      <c r="E29" s="28">
        <v>1041.6666666666667</v>
      </c>
      <c r="F29" s="28">
        <v>250000</v>
      </c>
    </row>
    <row r="30" spans="1:6" x14ac:dyDescent="0.25">
      <c r="A30" s="28">
        <v>11</v>
      </c>
      <c r="B30" s="28" t="s">
        <v>360</v>
      </c>
      <c r="C30" s="28" t="s">
        <v>361</v>
      </c>
      <c r="D30" s="28">
        <v>1</v>
      </c>
      <c r="E30" s="28">
        <v>25000</v>
      </c>
      <c r="F30" s="28">
        <v>6000000</v>
      </c>
    </row>
    <row r="31" spans="1:6" x14ac:dyDescent="0.25">
      <c r="C31" s="28" t="s">
        <v>362</v>
      </c>
      <c r="D31" s="28">
        <v>1</v>
      </c>
      <c r="E31" s="28">
        <v>18750</v>
      </c>
      <c r="F31" s="28">
        <v>4500000</v>
      </c>
    </row>
    <row r="32" spans="1:6" x14ac:dyDescent="0.25">
      <c r="A32" s="28">
        <v>12</v>
      </c>
      <c r="B32" s="28" t="s">
        <v>363</v>
      </c>
      <c r="C32" s="28" t="s">
        <v>364</v>
      </c>
      <c r="D32" s="28">
        <v>10</v>
      </c>
      <c r="E32" s="28">
        <v>41666.666666666664</v>
      </c>
      <c r="F32" s="28">
        <v>10000000</v>
      </c>
    </row>
    <row r="33" spans="1:6" x14ac:dyDescent="0.25">
      <c r="A33" s="28">
        <v>13</v>
      </c>
      <c r="B33" s="28" t="s">
        <v>365</v>
      </c>
      <c r="C33" s="28" t="s">
        <v>366</v>
      </c>
      <c r="D33" s="28">
        <v>1</v>
      </c>
      <c r="E33" s="28">
        <v>41666.666666666664</v>
      </c>
      <c r="F33" s="28">
        <v>10000000</v>
      </c>
    </row>
    <row r="34" spans="1:6" s="31" customFormat="1" x14ac:dyDescent="0.25">
      <c r="C34" s="31" t="s">
        <v>29</v>
      </c>
      <c r="E34" s="31">
        <v>1458333.3333333335</v>
      </c>
      <c r="F34" s="31">
        <v>350000000</v>
      </c>
    </row>
    <row r="35" spans="1:6" s="31" customFormat="1" ht="15.6" x14ac:dyDescent="0.25">
      <c r="C35" s="31" t="s">
        <v>367</v>
      </c>
      <c r="E35" s="150">
        <v>1706041.4976050719</v>
      </c>
      <c r="F35" s="31">
        <f>SUM(Table8[[#This Row],[Column5]]*240)</f>
        <v>409449959.42521727</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2AA02-2E3C-4970-BED6-35A7AA1D9D5E}">
  <dimension ref="A1:G26"/>
  <sheetViews>
    <sheetView topLeftCell="A2" workbookViewId="0">
      <selection sqref="A1:XFD1"/>
    </sheetView>
  </sheetViews>
  <sheetFormatPr defaultRowHeight="14.4" x14ac:dyDescent="0.3"/>
  <cols>
    <col min="1" max="1" width="14.33203125" style="5" customWidth="1"/>
    <col min="2" max="2" width="32.109375" style="5" customWidth="1"/>
    <col min="3" max="3" width="16.88671875" style="5" customWidth="1"/>
    <col min="4" max="4" width="11.21875" style="5" customWidth="1"/>
    <col min="5" max="5" width="25.109375" style="5" customWidth="1"/>
    <col min="6" max="6" width="16.109375" style="5" customWidth="1"/>
    <col min="7" max="7" width="16.77734375" style="5" customWidth="1"/>
    <col min="8" max="16384" width="8.88671875" style="5"/>
  </cols>
  <sheetData>
    <row r="1" spans="1:7" hidden="1" x14ac:dyDescent="0.3">
      <c r="A1" s="5" t="s">
        <v>31</v>
      </c>
      <c r="B1" s="5" t="s">
        <v>32</v>
      </c>
      <c r="C1" s="5" t="s">
        <v>33</v>
      </c>
      <c r="D1" s="5" t="s">
        <v>34</v>
      </c>
      <c r="E1" s="5" t="s">
        <v>249</v>
      </c>
      <c r="F1" s="5" t="s">
        <v>279</v>
      </c>
      <c r="G1" s="5" t="s">
        <v>280</v>
      </c>
    </row>
    <row r="2" spans="1:7" x14ac:dyDescent="0.3">
      <c r="A2" s="28" t="s">
        <v>35</v>
      </c>
      <c r="B2" s="28"/>
      <c r="C2" s="28"/>
      <c r="D2" s="28"/>
      <c r="E2" s="28"/>
      <c r="F2" s="28"/>
      <c r="G2" s="28"/>
    </row>
    <row r="3" spans="1:7" x14ac:dyDescent="0.3">
      <c r="A3" s="28" t="s">
        <v>298</v>
      </c>
      <c r="B3" s="28"/>
      <c r="C3" s="28"/>
      <c r="D3" s="28"/>
      <c r="E3" s="28"/>
      <c r="F3" s="28"/>
      <c r="G3" s="28"/>
    </row>
    <row r="4" spans="1:7" x14ac:dyDescent="0.3">
      <c r="A4" s="28" t="s">
        <v>37</v>
      </c>
      <c r="B4" s="28"/>
      <c r="C4" s="28"/>
      <c r="D4" s="28"/>
      <c r="E4" s="28"/>
      <c r="F4" s="28"/>
      <c r="G4" s="28"/>
    </row>
    <row r="5" spans="1:7" x14ac:dyDescent="0.3">
      <c r="A5" s="28" t="s">
        <v>0</v>
      </c>
      <c r="B5" s="28"/>
      <c r="C5" s="28"/>
      <c r="D5" s="28"/>
      <c r="E5" s="28"/>
      <c r="F5" s="28"/>
      <c r="G5" s="28"/>
    </row>
    <row r="6" spans="1:7" x14ac:dyDescent="0.3">
      <c r="A6" s="28" t="s">
        <v>1</v>
      </c>
      <c r="B6" s="28"/>
      <c r="C6" s="28"/>
      <c r="D6" s="28"/>
      <c r="E6" s="28"/>
      <c r="F6" s="28"/>
      <c r="G6" s="28"/>
    </row>
    <row r="7" spans="1:7" x14ac:dyDescent="0.3">
      <c r="A7" s="28" t="s">
        <v>2</v>
      </c>
      <c r="B7" s="28"/>
      <c r="C7" s="28"/>
      <c r="D7" s="28"/>
      <c r="E7" s="28"/>
      <c r="F7" s="28"/>
      <c r="G7" s="28"/>
    </row>
    <row r="8" spans="1:7" x14ac:dyDescent="0.3">
      <c r="A8" s="28" t="s">
        <v>108</v>
      </c>
      <c r="B8" s="28" t="s">
        <v>299</v>
      </c>
      <c r="C8" s="28" t="s">
        <v>300</v>
      </c>
      <c r="D8" s="28" t="s">
        <v>301</v>
      </c>
      <c r="E8" s="28"/>
      <c r="F8" s="28" t="s">
        <v>302</v>
      </c>
      <c r="G8" s="28" t="s">
        <v>303</v>
      </c>
    </row>
    <row r="9" spans="1:7" x14ac:dyDescent="0.3">
      <c r="A9" s="151">
        <v>1</v>
      </c>
      <c r="B9" s="28" t="s">
        <v>304</v>
      </c>
      <c r="C9" s="28" t="s">
        <v>158</v>
      </c>
      <c r="D9" s="28">
        <v>2</v>
      </c>
      <c r="E9" s="28">
        <v>333333.33333333331</v>
      </c>
      <c r="F9" s="28">
        <v>40000000</v>
      </c>
      <c r="G9" s="28">
        <v>80000000</v>
      </c>
    </row>
    <row r="10" spans="1:7" x14ac:dyDescent="0.3">
      <c r="A10" s="151">
        <v>2</v>
      </c>
      <c r="B10" s="28" t="s">
        <v>305</v>
      </c>
      <c r="C10" s="28" t="s">
        <v>151</v>
      </c>
      <c r="D10" s="28">
        <v>1</v>
      </c>
      <c r="E10" s="28">
        <v>104166.66666666667</v>
      </c>
      <c r="F10" s="28">
        <v>25000000</v>
      </c>
      <c r="G10" s="28">
        <v>25000000</v>
      </c>
    </row>
    <row r="11" spans="1:7" x14ac:dyDescent="0.3">
      <c r="A11" s="151">
        <v>3</v>
      </c>
      <c r="B11" s="28" t="s">
        <v>306</v>
      </c>
      <c r="C11" s="28" t="s">
        <v>158</v>
      </c>
      <c r="D11" s="28">
        <v>3</v>
      </c>
      <c r="E11" s="28">
        <v>22500</v>
      </c>
      <c r="F11" s="28">
        <v>1800000</v>
      </c>
      <c r="G11" s="28">
        <v>5400000</v>
      </c>
    </row>
    <row r="12" spans="1:7" x14ac:dyDescent="0.3">
      <c r="A12" s="151">
        <v>4</v>
      </c>
      <c r="B12" s="28" t="s">
        <v>307</v>
      </c>
      <c r="C12" s="28" t="s">
        <v>158</v>
      </c>
      <c r="D12" s="28">
        <v>1</v>
      </c>
      <c r="E12" s="28">
        <v>80000</v>
      </c>
      <c r="F12" s="28">
        <v>19200000</v>
      </c>
      <c r="G12" s="28">
        <v>19200000</v>
      </c>
    </row>
    <row r="13" spans="1:7" x14ac:dyDescent="0.3">
      <c r="A13" s="151">
        <v>5</v>
      </c>
      <c r="B13" s="28" t="s">
        <v>308</v>
      </c>
      <c r="C13" s="28" t="s">
        <v>158</v>
      </c>
      <c r="D13" s="28">
        <v>10</v>
      </c>
      <c r="E13" s="28">
        <v>200000</v>
      </c>
      <c r="F13" s="28">
        <v>4800000</v>
      </c>
      <c r="G13" s="28">
        <v>48000000</v>
      </c>
    </row>
    <row r="14" spans="1:7" x14ac:dyDescent="0.3">
      <c r="A14" s="151">
        <v>6</v>
      </c>
      <c r="B14" s="28" t="s">
        <v>309</v>
      </c>
      <c r="C14" s="28" t="s">
        <v>158</v>
      </c>
      <c r="D14" s="28">
        <v>10</v>
      </c>
      <c r="E14" s="28">
        <v>14583.333333333334</v>
      </c>
      <c r="F14" s="28">
        <v>350000</v>
      </c>
      <c r="G14" s="28">
        <v>3500000</v>
      </c>
    </row>
    <row r="15" spans="1:7" x14ac:dyDescent="0.3">
      <c r="A15" s="151">
        <v>7</v>
      </c>
      <c r="B15" s="28" t="s">
        <v>310</v>
      </c>
      <c r="C15" s="28" t="s">
        <v>158</v>
      </c>
      <c r="D15" s="28">
        <v>100</v>
      </c>
      <c r="E15" s="28">
        <v>8333.3333333333339</v>
      </c>
      <c r="F15" s="28">
        <v>20000</v>
      </c>
      <c r="G15" s="28">
        <v>2000000</v>
      </c>
    </row>
    <row r="16" spans="1:7" x14ac:dyDescent="0.3">
      <c r="A16" s="151">
        <v>8</v>
      </c>
      <c r="B16" s="28" t="s">
        <v>311</v>
      </c>
      <c r="C16" s="28" t="s">
        <v>158</v>
      </c>
      <c r="D16" s="28">
        <v>600</v>
      </c>
      <c r="E16" s="28">
        <v>137500</v>
      </c>
      <c r="F16" s="28">
        <v>55000</v>
      </c>
      <c r="G16" s="28">
        <v>33000000</v>
      </c>
    </row>
    <row r="17" spans="1:7" x14ac:dyDescent="0.3">
      <c r="A17" s="151">
        <v>9</v>
      </c>
      <c r="B17" s="28" t="s">
        <v>312</v>
      </c>
      <c r="C17" s="28" t="s">
        <v>151</v>
      </c>
      <c r="D17" s="28">
        <v>2</v>
      </c>
      <c r="E17" s="28">
        <v>117500</v>
      </c>
      <c r="F17" s="28">
        <v>14100000</v>
      </c>
      <c r="G17" s="28">
        <v>28200000</v>
      </c>
    </row>
    <row r="18" spans="1:7" x14ac:dyDescent="0.3">
      <c r="A18" s="151">
        <v>10</v>
      </c>
      <c r="B18" s="28" t="s">
        <v>313</v>
      </c>
      <c r="C18" s="28" t="s">
        <v>314</v>
      </c>
      <c r="D18" s="28">
        <v>1</v>
      </c>
      <c r="E18" s="28">
        <v>208333.33333333334</v>
      </c>
      <c r="F18" s="28">
        <v>50000000</v>
      </c>
      <c r="G18" s="28">
        <v>50000000</v>
      </c>
    </row>
    <row r="19" spans="1:7" x14ac:dyDescent="0.3">
      <c r="A19" s="151">
        <v>11</v>
      </c>
      <c r="B19" s="28" t="s">
        <v>315</v>
      </c>
      <c r="C19" s="28" t="s">
        <v>158</v>
      </c>
      <c r="D19" s="28">
        <v>2</v>
      </c>
      <c r="E19" s="28">
        <v>25000</v>
      </c>
      <c r="F19" s="28">
        <v>3000000</v>
      </c>
      <c r="G19" s="28">
        <v>6000000</v>
      </c>
    </row>
    <row r="20" spans="1:7" x14ac:dyDescent="0.3">
      <c r="A20" s="151">
        <v>12</v>
      </c>
      <c r="B20" s="28" t="s">
        <v>316</v>
      </c>
      <c r="C20" s="28" t="s">
        <v>158</v>
      </c>
      <c r="D20" s="28">
        <v>2</v>
      </c>
      <c r="E20" s="28">
        <v>2083.3333333333335</v>
      </c>
      <c r="F20" s="28">
        <v>250000</v>
      </c>
      <c r="G20" s="28">
        <v>500000</v>
      </c>
    </row>
    <row r="21" spans="1:7" x14ac:dyDescent="0.3">
      <c r="A21" s="151">
        <v>13</v>
      </c>
      <c r="B21" s="28" t="s">
        <v>317</v>
      </c>
      <c r="C21" s="28" t="s">
        <v>158</v>
      </c>
      <c r="D21" s="28">
        <v>1</v>
      </c>
      <c r="E21" s="28">
        <v>8333.3333333333339</v>
      </c>
      <c r="F21" s="28">
        <v>2000000</v>
      </c>
      <c r="G21" s="28">
        <v>2000000</v>
      </c>
    </row>
    <row r="22" spans="1:7" x14ac:dyDescent="0.3">
      <c r="A22" s="151">
        <v>14</v>
      </c>
      <c r="B22" s="28" t="s">
        <v>318</v>
      </c>
      <c r="C22" s="28" t="s">
        <v>158</v>
      </c>
      <c r="D22" s="28">
        <v>3</v>
      </c>
      <c r="E22" s="28">
        <v>60000</v>
      </c>
      <c r="F22" s="28">
        <v>4800000</v>
      </c>
      <c r="G22" s="28">
        <v>14400000</v>
      </c>
    </row>
    <row r="23" spans="1:7" x14ac:dyDescent="0.3">
      <c r="A23" s="151">
        <v>15</v>
      </c>
      <c r="B23" s="28" t="s">
        <v>319</v>
      </c>
      <c r="C23" s="28" t="s">
        <v>320</v>
      </c>
      <c r="D23" s="28">
        <v>4</v>
      </c>
      <c r="E23" s="28">
        <v>20000</v>
      </c>
      <c r="F23" s="28">
        <v>1200000</v>
      </c>
      <c r="G23" s="28">
        <v>4800000</v>
      </c>
    </row>
    <row r="24" spans="1:7" x14ac:dyDescent="0.3">
      <c r="A24" s="151">
        <v>16</v>
      </c>
      <c r="B24" s="28" t="s">
        <v>321</v>
      </c>
      <c r="C24" s="28" t="s">
        <v>151</v>
      </c>
      <c r="D24" s="28">
        <v>4</v>
      </c>
      <c r="E24" s="28">
        <v>33333.333333333336</v>
      </c>
      <c r="F24" s="28">
        <v>2000000</v>
      </c>
      <c r="G24" s="28">
        <v>8000000</v>
      </c>
    </row>
    <row r="25" spans="1:7" s="41" customFormat="1" x14ac:dyDescent="0.3">
      <c r="A25" s="152"/>
      <c r="B25" s="31"/>
      <c r="C25" s="31" t="s">
        <v>29</v>
      </c>
      <c r="D25" s="31"/>
      <c r="E25" s="31">
        <v>1375000</v>
      </c>
      <c r="F25" s="31"/>
      <c r="G25" s="31">
        <v>330000000</v>
      </c>
    </row>
    <row r="26" spans="1:7" s="41" customFormat="1" x14ac:dyDescent="0.3">
      <c r="A26" s="31"/>
      <c r="B26" s="31"/>
      <c r="C26" s="31" t="s">
        <v>322</v>
      </c>
      <c r="D26" s="31"/>
      <c r="E26" s="31">
        <v>1622708.1642717384</v>
      </c>
      <c r="F26" s="31"/>
      <c r="G26" s="31">
        <v>389449959.42521721</v>
      </c>
    </row>
  </sheetData>
  <phoneticPr fontId="25" type="noConversion"/>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89431-881A-4693-988B-7A612F325630}">
  <dimension ref="A1:G43"/>
  <sheetViews>
    <sheetView topLeftCell="A21" workbookViewId="0">
      <selection activeCell="B36" sqref="B36:G36"/>
    </sheetView>
  </sheetViews>
  <sheetFormatPr defaultRowHeight="14.4" x14ac:dyDescent="0.3"/>
  <cols>
    <col min="1" max="1" width="17.6640625" style="5" customWidth="1"/>
    <col min="2" max="2" width="22.6640625" style="5" customWidth="1"/>
    <col min="3" max="3" width="15.109375" style="5" customWidth="1"/>
    <col min="4" max="4" width="14.77734375" style="5" customWidth="1"/>
    <col min="5" max="5" width="14.44140625" style="5" customWidth="1"/>
    <col min="6" max="6" width="13.33203125" style="5" customWidth="1"/>
    <col min="7" max="7" width="13.6640625" style="5" customWidth="1"/>
    <col min="8" max="16384" width="8.88671875" style="5"/>
  </cols>
  <sheetData>
    <row r="1" spans="1:7" x14ac:dyDescent="0.3">
      <c r="A1" s="157" t="s">
        <v>75</v>
      </c>
      <c r="B1" s="158"/>
      <c r="C1" s="158"/>
      <c r="D1" s="158"/>
      <c r="E1" s="158"/>
      <c r="F1" s="158"/>
      <c r="G1" s="159"/>
    </row>
    <row r="2" spans="1:7" x14ac:dyDescent="0.3">
      <c r="A2" s="160" t="s">
        <v>76</v>
      </c>
      <c r="B2" s="161"/>
      <c r="C2" s="161"/>
      <c r="D2" s="161"/>
      <c r="E2" s="161"/>
      <c r="F2" s="161"/>
      <c r="G2" s="162"/>
    </row>
    <row r="3" spans="1:7" x14ac:dyDescent="0.3">
      <c r="A3" s="163" t="s">
        <v>36</v>
      </c>
      <c r="B3" s="164"/>
      <c r="C3" s="164"/>
      <c r="D3" s="164"/>
      <c r="E3" s="164"/>
      <c r="F3" s="164"/>
      <c r="G3" s="165"/>
    </row>
    <row r="4" spans="1:7" x14ac:dyDescent="0.3">
      <c r="A4" s="163" t="s">
        <v>77</v>
      </c>
      <c r="B4" s="164"/>
      <c r="C4" s="164"/>
      <c r="D4" s="164"/>
      <c r="E4" s="164"/>
      <c r="F4" s="164"/>
      <c r="G4" s="165"/>
    </row>
    <row r="5" spans="1:7" x14ac:dyDescent="0.3">
      <c r="A5" s="163" t="s">
        <v>78</v>
      </c>
      <c r="B5" s="164"/>
      <c r="C5" s="164"/>
      <c r="D5" s="164"/>
      <c r="E5" s="164"/>
      <c r="F5" s="164"/>
      <c r="G5" s="165"/>
    </row>
    <row r="6" spans="1:7" x14ac:dyDescent="0.3">
      <c r="A6" s="163" t="s">
        <v>79</v>
      </c>
      <c r="B6" s="164"/>
      <c r="C6" s="164"/>
      <c r="D6" s="164"/>
      <c r="E6" s="164"/>
      <c r="F6" s="164"/>
      <c r="G6" s="165"/>
    </row>
    <row r="7" spans="1:7" x14ac:dyDescent="0.3">
      <c r="A7" s="166" t="s">
        <v>80</v>
      </c>
      <c r="B7" s="167"/>
      <c r="C7" s="167"/>
      <c r="D7" s="167"/>
      <c r="E7" s="167"/>
      <c r="F7" s="167"/>
      <c r="G7" s="168"/>
    </row>
    <row r="8" spans="1:7" x14ac:dyDescent="0.3">
      <c r="A8" s="256" t="s">
        <v>3</v>
      </c>
      <c r="B8" s="254" t="s">
        <v>81</v>
      </c>
      <c r="C8" s="255"/>
      <c r="D8" s="254" t="s">
        <v>82</v>
      </c>
      <c r="E8" s="255"/>
      <c r="F8" s="254" t="s">
        <v>83</v>
      </c>
      <c r="G8" s="255"/>
    </row>
    <row r="9" spans="1:7" x14ac:dyDescent="0.3">
      <c r="A9" s="257"/>
      <c r="B9" s="169" t="s">
        <v>10</v>
      </c>
      <c r="C9" s="169" t="s">
        <v>9</v>
      </c>
      <c r="D9" s="169" t="s">
        <v>11</v>
      </c>
      <c r="E9" s="169" t="s">
        <v>9</v>
      </c>
      <c r="F9" s="169" t="s">
        <v>10</v>
      </c>
      <c r="G9" s="169" t="s">
        <v>9</v>
      </c>
    </row>
    <row r="10" spans="1:7" x14ac:dyDescent="0.3">
      <c r="A10" s="170" t="s">
        <v>38</v>
      </c>
      <c r="B10" s="5">
        <v>32000</v>
      </c>
      <c r="C10" s="5">
        <v>7680000</v>
      </c>
      <c r="D10" s="5">
        <v>32000</v>
      </c>
      <c r="E10" s="5">
        <v>7680000</v>
      </c>
      <c r="F10" s="5">
        <v>64000</v>
      </c>
      <c r="G10" s="5">
        <v>15360000</v>
      </c>
    </row>
    <row r="11" spans="1:7" x14ac:dyDescent="0.3">
      <c r="A11" s="171" t="s">
        <v>39</v>
      </c>
      <c r="B11" s="5">
        <v>47833.333333333336</v>
      </c>
      <c r="C11" s="5">
        <v>11480000</v>
      </c>
      <c r="D11" s="5">
        <v>1000</v>
      </c>
      <c r="E11" s="5">
        <v>240000</v>
      </c>
      <c r="F11" s="5">
        <v>48833.333333333336</v>
      </c>
      <c r="G11" s="5">
        <v>11720000</v>
      </c>
    </row>
    <row r="12" spans="1:7" ht="28.2" x14ac:dyDescent="0.3">
      <c r="A12" s="172" t="s">
        <v>41</v>
      </c>
      <c r="B12" s="5">
        <v>31000</v>
      </c>
      <c r="C12" s="5">
        <v>7440000</v>
      </c>
      <c r="D12" s="5">
        <v>20000</v>
      </c>
      <c r="E12" s="5">
        <v>4800000</v>
      </c>
      <c r="F12" s="5">
        <v>51000</v>
      </c>
      <c r="G12" s="5">
        <v>12240000</v>
      </c>
    </row>
    <row r="13" spans="1:7" x14ac:dyDescent="0.3">
      <c r="A13" s="173" t="s">
        <v>42</v>
      </c>
      <c r="B13" s="5">
        <v>0</v>
      </c>
      <c r="C13" s="5">
        <v>0</v>
      </c>
      <c r="D13" s="5">
        <v>69000</v>
      </c>
      <c r="E13" s="5">
        <v>16560000</v>
      </c>
      <c r="F13" s="5">
        <v>69000</v>
      </c>
      <c r="G13" s="5">
        <v>16560000</v>
      </c>
    </row>
    <row r="14" spans="1:7" x14ac:dyDescent="0.3">
      <c r="A14" s="172" t="s">
        <v>43</v>
      </c>
      <c r="B14" s="5">
        <v>271666.66666666663</v>
      </c>
      <c r="C14" s="5">
        <v>65199999.999999993</v>
      </c>
      <c r="D14" s="5">
        <v>50000</v>
      </c>
      <c r="E14" s="5">
        <v>12000000</v>
      </c>
      <c r="F14" s="5">
        <v>321666.66666666663</v>
      </c>
      <c r="G14" s="5">
        <v>77200000</v>
      </c>
    </row>
    <row r="15" spans="1:7" x14ac:dyDescent="0.3">
      <c r="A15" s="172" t="s">
        <v>44</v>
      </c>
      <c r="B15" s="5">
        <v>31000</v>
      </c>
      <c r="C15" s="5">
        <v>7440000</v>
      </c>
      <c r="D15" s="5">
        <v>0</v>
      </c>
      <c r="E15" s="5">
        <v>0</v>
      </c>
      <c r="F15" s="5">
        <v>31000</v>
      </c>
      <c r="G15" s="5">
        <v>7440000</v>
      </c>
    </row>
    <row r="16" spans="1:7" x14ac:dyDescent="0.3">
      <c r="A16" s="174" t="s">
        <v>45</v>
      </c>
      <c r="B16" s="5">
        <v>37500</v>
      </c>
      <c r="C16" s="5">
        <v>9000000</v>
      </c>
      <c r="D16" s="5">
        <v>30000</v>
      </c>
      <c r="E16" s="5">
        <v>7200000</v>
      </c>
      <c r="F16" s="5">
        <v>67500</v>
      </c>
      <c r="G16" s="5">
        <v>16200000</v>
      </c>
    </row>
    <row r="17" spans="1:7" x14ac:dyDescent="0.3">
      <c r="A17" s="175" t="s">
        <v>46</v>
      </c>
      <c r="B17" s="5">
        <v>0</v>
      </c>
      <c r="C17" s="5">
        <v>0</v>
      </c>
      <c r="D17" s="5">
        <v>128500</v>
      </c>
      <c r="E17" s="5">
        <v>30840000</v>
      </c>
      <c r="F17" s="5">
        <v>128500</v>
      </c>
      <c r="G17" s="5">
        <v>30840000</v>
      </c>
    </row>
    <row r="18" spans="1:7" x14ac:dyDescent="0.3">
      <c r="A18" s="174" t="s">
        <v>47</v>
      </c>
      <c r="B18" s="5">
        <v>105000</v>
      </c>
      <c r="C18" s="5">
        <v>25200000</v>
      </c>
      <c r="D18" s="5">
        <v>45000</v>
      </c>
      <c r="E18" s="5">
        <v>10800000</v>
      </c>
      <c r="F18" s="5">
        <v>150000</v>
      </c>
      <c r="G18" s="5">
        <v>36000000</v>
      </c>
    </row>
    <row r="19" spans="1:7" x14ac:dyDescent="0.3">
      <c r="A19" s="172" t="s">
        <v>48</v>
      </c>
      <c r="B19" s="5">
        <v>0</v>
      </c>
      <c r="C19" s="5">
        <v>0</v>
      </c>
      <c r="D19" s="5">
        <v>0</v>
      </c>
      <c r="E19" s="5">
        <v>0</v>
      </c>
      <c r="F19" s="5">
        <v>0</v>
      </c>
      <c r="G19" s="5">
        <v>0</v>
      </c>
    </row>
    <row r="20" spans="1:7" x14ac:dyDescent="0.3">
      <c r="A20" s="176" t="s">
        <v>49</v>
      </c>
      <c r="C20" s="5">
        <v>0</v>
      </c>
      <c r="E20" s="5">
        <v>0</v>
      </c>
      <c r="F20" s="5">
        <v>0</v>
      </c>
      <c r="G20" s="5">
        <v>0</v>
      </c>
    </row>
    <row r="21" spans="1:7" x14ac:dyDescent="0.3">
      <c r="A21" s="160" t="s">
        <v>84</v>
      </c>
      <c r="B21" s="5">
        <v>0</v>
      </c>
      <c r="C21" s="5">
        <v>0</v>
      </c>
      <c r="D21" s="5">
        <v>0</v>
      </c>
      <c r="E21" s="5">
        <v>0</v>
      </c>
      <c r="F21" s="5">
        <v>0</v>
      </c>
      <c r="G21" s="5">
        <v>0</v>
      </c>
    </row>
    <row r="22" spans="1:7" ht="15" thickBot="1" x14ac:dyDescent="0.35">
      <c r="A22" s="177" t="s">
        <v>56</v>
      </c>
      <c r="B22" s="5">
        <v>44480</v>
      </c>
      <c r="C22" s="5">
        <v>10675200</v>
      </c>
      <c r="D22" s="5">
        <v>30040</v>
      </c>
      <c r="E22" s="5">
        <v>7209600</v>
      </c>
      <c r="F22" s="5">
        <v>74520</v>
      </c>
      <c r="G22" s="5">
        <v>17884800</v>
      </c>
    </row>
    <row r="23" spans="1:7" s="41" customFormat="1" ht="15" thickBot="1" x14ac:dyDescent="0.35">
      <c r="A23" s="178" t="s">
        <v>21</v>
      </c>
      <c r="B23" s="41">
        <v>600480</v>
      </c>
      <c r="C23" s="41">
        <v>144115200</v>
      </c>
      <c r="D23" s="41">
        <v>405540</v>
      </c>
      <c r="E23" s="41">
        <v>97329600</v>
      </c>
      <c r="F23" s="41">
        <v>1006020</v>
      </c>
      <c r="G23" s="41">
        <v>241444800</v>
      </c>
    </row>
    <row r="24" spans="1:7" x14ac:dyDescent="0.3">
      <c r="A24" s="28"/>
    </row>
    <row r="25" spans="1:7" x14ac:dyDescent="0.3">
      <c r="A25" s="258" t="s">
        <v>22</v>
      </c>
      <c r="B25" s="254" t="s">
        <v>81</v>
      </c>
      <c r="C25" s="255"/>
      <c r="D25" s="254" t="s">
        <v>82</v>
      </c>
      <c r="E25" s="255"/>
      <c r="F25" s="254" t="s">
        <v>83</v>
      </c>
      <c r="G25" s="255"/>
    </row>
    <row r="26" spans="1:7" x14ac:dyDescent="0.3">
      <c r="A26" s="259"/>
      <c r="B26" s="169" t="s">
        <v>10</v>
      </c>
      <c r="C26" s="169" t="s">
        <v>9</v>
      </c>
      <c r="D26" s="169" t="s">
        <v>11</v>
      </c>
      <c r="E26" s="169" t="s">
        <v>9</v>
      </c>
      <c r="F26" s="169" t="s">
        <v>10</v>
      </c>
      <c r="G26" s="169" t="s">
        <v>9</v>
      </c>
    </row>
    <row r="27" spans="1:7" x14ac:dyDescent="0.3">
      <c r="A27" s="179" t="s">
        <v>57</v>
      </c>
      <c r="B27" s="5">
        <v>112500</v>
      </c>
      <c r="C27" s="5">
        <v>27000000</v>
      </c>
      <c r="D27" s="5">
        <v>112500</v>
      </c>
      <c r="E27" s="5">
        <v>27000000</v>
      </c>
      <c r="F27" s="5">
        <v>225000</v>
      </c>
      <c r="G27" s="5">
        <v>54000000</v>
      </c>
    </row>
    <row r="28" spans="1:7" x14ac:dyDescent="0.3">
      <c r="A28" s="179" t="s">
        <v>85</v>
      </c>
      <c r="B28" s="5">
        <v>0</v>
      </c>
      <c r="C28" s="5">
        <v>0</v>
      </c>
      <c r="D28" s="5">
        <v>0</v>
      </c>
      <c r="E28" s="5">
        <v>0</v>
      </c>
      <c r="F28" s="5">
        <v>0</v>
      </c>
      <c r="G28" s="5">
        <v>0</v>
      </c>
    </row>
    <row r="29" spans="1:7" x14ac:dyDescent="0.3">
      <c r="A29" s="179" t="s">
        <v>42</v>
      </c>
      <c r="B29" s="5">
        <v>25000</v>
      </c>
      <c r="C29" s="5">
        <v>6000000</v>
      </c>
      <c r="D29" s="5">
        <v>25000</v>
      </c>
      <c r="E29" s="5">
        <v>6000000</v>
      </c>
      <c r="F29" s="5">
        <v>50000</v>
      </c>
      <c r="G29" s="5">
        <v>12000000</v>
      </c>
    </row>
    <row r="30" spans="1:7" x14ac:dyDescent="0.3">
      <c r="A30" s="180" t="s">
        <v>86</v>
      </c>
      <c r="B30" s="5">
        <v>0</v>
      </c>
      <c r="C30" s="5">
        <v>0</v>
      </c>
      <c r="D30" s="5">
        <v>7500</v>
      </c>
      <c r="E30" s="5">
        <v>1800000</v>
      </c>
      <c r="F30" s="5">
        <v>7500</v>
      </c>
      <c r="G30" s="5">
        <v>1800000</v>
      </c>
    </row>
    <row r="31" spans="1:7" ht="15" thickBot="1" x14ac:dyDescent="0.35">
      <c r="A31" s="180" t="s">
        <v>56</v>
      </c>
      <c r="B31" s="5">
        <v>28300</v>
      </c>
      <c r="C31" s="5">
        <v>6792000</v>
      </c>
      <c r="D31" s="5">
        <v>28300</v>
      </c>
      <c r="E31" s="5">
        <v>6792000</v>
      </c>
      <c r="F31" s="5">
        <v>56600</v>
      </c>
      <c r="G31" s="5">
        <v>13584000</v>
      </c>
    </row>
    <row r="32" spans="1:7" s="41" customFormat="1" ht="15" thickBot="1" x14ac:dyDescent="0.35">
      <c r="A32" s="178" t="s">
        <v>21</v>
      </c>
      <c r="B32" s="41">
        <v>165800</v>
      </c>
      <c r="C32" s="41">
        <v>39792000</v>
      </c>
      <c r="D32" s="41">
        <v>173300</v>
      </c>
      <c r="E32" s="41">
        <v>41592000</v>
      </c>
      <c r="F32" s="41">
        <v>339100</v>
      </c>
      <c r="G32" s="41">
        <v>81384000</v>
      </c>
    </row>
    <row r="33" spans="1:7" x14ac:dyDescent="0.3">
      <c r="A33" s="28"/>
    </row>
    <row r="34" spans="1:7" x14ac:dyDescent="0.3">
      <c r="A34" s="181" t="s">
        <v>25</v>
      </c>
      <c r="B34" s="254" t="s">
        <v>81</v>
      </c>
      <c r="C34" s="255"/>
      <c r="D34" s="254" t="s">
        <v>82</v>
      </c>
      <c r="E34" s="255"/>
      <c r="F34" s="254" t="s">
        <v>83</v>
      </c>
      <c r="G34" s="255"/>
    </row>
    <row r="35" spans="1:7" x14ac:dyDescent="0.3">
      <c r="A35" s="182" t="s">
        <v>8</v>
      </c>
      <c r="B35" s="169" t="s">
        <v>10</v>
      </c>
      <c r="C35" s="169" t="s">
        <v>9</v>
      </c>
      <c r="D35" s="169" t="s">
        <v>11</v>
      </c>
      <c r="E35" s="169" t="s">
        <v>9</v>
      </c>
      <c r="F35" s="169" t="s">
        <v>10</v>
      </c>
      <c r="G35" s="169" t="s">
        <v>9</v>
      </c>
    </row>
    <row r="36" spans="1:7" x14ac:dyDescent="0.3">
      <c r="A36" s="182" t="s">
        <v>87</v>
      </c>
      <c r="B36" s="28">
        <v>64000</v>
      </c>
      <c r="C36" s="28">
        <f>SUM(B36*240)</f>
        <v>15360000</v>
      </c>
      <c r="D36" s="28">
        <v>64000</v>
      </c>
      <c r="E36" s="28">
        <v>15360000</v>
      </c>
      <c r="F36" s="28">
        <f>SUM(B36+D36)</f>
        <v>128000</v>
      </c>
      <c r="G36" s="28">
        <f>SUM(C36+E36)</f>
        <v>30720000</v>
      </c>
    </row>
    <row r="37" spans="1:7" x14ac:dyDescent="0.3">
      <c r="A37" s="183"/>
    </row>
    <row r="38" spans="1:7" ht="15" thickBot="1" x14ac:dyDescent="0.35">
      <c r="A38" s="184"/>
    </row>
    <row r="39" spans="1:7" s="41" customFormat="1" ht="15" thickBot="1" x14ac:dyDescent="0.35">
      <c r="A39" s="185" t="s">
        <v>21</v>
      </c>
      <c r="B39" s="41">
        <v>64000</v>
      </c>
      <c r="C39" s="41">
        <v>15360000</v>
      </c>
      <c r="D39" s="41">
        <v>64000</v>
      </c>
      <c r="E39" s="41">
        <v>15360000</v>
      </c>
      <c r="F39" s="41">
        <v>128000</v>
      </c>
      <c r="G39" s="41">
        <v>30720000</v>
      </c>
    </row>
    <row r="40" spans="1:7" ht="15" thickBot="1" x14ac:dyDescent="0.35">
      <c r="A40" s="186"/>
    </row>
    <row r="41" spans="1:7" x14ac:dyDescent="0.3">
      <c r="A41" s="251" t="s">
        <v>28</v>
      </c>
      <c r="B41" s="254" t="s">
        <v>81</v>
      </c>
      <c r="C41" s="255"/>
      <c r="D41" s="254" t="s">
        <v>82</v>
      </c>
      <c r="E41" s="255"/>
      <c r="F41" s="254" t="s">
        <v>83</v>
      </c>
      <c r="G41" s="255"/>
    </row>
    <row r="42" spans="1:7" x14ac:dyDescent="0.3">
      <c r="A42" s="252"/>
      <c r="B42" s="169" t="s">
        <v>10</v>
      </c>
      <c r="C42" s="169" t="s">
        <v>9</v>
      </c>
      <c r="D42" s="169" t="s">
        <v>11</v>
      </c>
      <c r="E42" s="169" t="s">
        <v>9</v>
      </c>
      <c r="F42" s="169" t="s">
        <v>10</v>
      </c>
      <c r="G42" s="169" t="s">
        <v>9</v>
      </c>
    </row>
    <row r="43" spans="1:7" s="41" customFormat="1" ht="15" thickBot="1" x14ac:dyDescent="0.35">
      <c r="A43" s="253"/>
      <c r="B43" s="41">
        <v>830280</v>
      </c>
      <c r="C43" s="41">
        <v>199267200</v>
      </c>
      <c r="D43" s="41">
        <v>642840</v>
      </c>
      <c r="E43" s="41">
        <v>154281600</v>
      </c>
      <c r="F43" s="41">
        <v>1473120</v>
      </c>
      <c r="G43" s="41">
        <v>353548800</v>
      </c>
    </row>
  </sheetData>
  <mergeCells count="15">
    <mergeCell ref="A8:A9"/>
    <mergeCell ref="B8:C8"/>
    <mergeCell ref="D8:E8"/>
    <mergeCell ref="F8:G8"/>
    <mergeCell ref="A25:A26"/>
    <mergeCell ref="A41:A43"/>
    <mergeCell ref="B25:C25"/>
    <mergeCell ref="D25:E25"/>
    <mergeCell ref="F25:G25"/>
    <mergeCell ref="B34:C34"/>
    <mergeCell ref="D34:E34"/>
    <mergeCell ref="F34:G34"/>
    <mergeCell ref="B41:C41"/>
    <mergeCell ref="D41:E41"/>
    <mergeCell ref="F41:G4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9857-181C-4CBB-BC79-BE6F1635F92E}">
  <dimension ref="A1:E37"/>
  <sheetViews>
    <sheetView topLeftCell="C35" workbookViewId="0">
      <selection sqref="A1:E37"/>
    </sheetView>
  </sheetViews>
  <sheetFormatPr defaultRowHeight="14.4" x14ac:dyDescent="0.3"/>
  <cols>
    <col min="1" max="1" width="21.21875" customWidth="1"/>
    <col min="2" max="2" width="29.21875" customWidth="1"/>
    <col min="3" max="3" width="22.77734375" customWidth="1"/>
    <col min="4" max="4" width="22.21875" customWidth="1"/>
    <col min="5" max="5" width="19.44140625" customWidth="1"/>
  </cols>
  <sheetData>
    <row r="1" spans="1:5" s="42" customFormat="1" ht="13.8" x14ac:dyDescent="0.25">
      <c r="A1" s="83" t="s">
        <v>88</v>
      </c>
      <c r="B1" s="84"/>
      <c r="C1" s="84"/>
      <c r="D1" s="84"/>
      <c r="E1" s="85"/>
    </row>
    <row r="2" spans="1:5" s="42" customFormat="1" ht="13.8" x14ac:dyDescent="0.25">
      <c r="A2" s="86" t="s">
        <v>89</v>
      </c>
      <c r="B2" s="85"/>
      <c r="C2" s="85"/>
      <c r="D2" s="85"/>
      <c r="E2" s="85"/>
    </row>
    <row r="3" spans="1:5" s="42" customFormat="1" ht="13.8" x14ac:dyDescent="0.25">
      <c r="A3" s="86" t="s">
        <v>90</v>
      </c>
      <c r="B3" s="85"/>
      <c r="C3" s="85"/>
      <c r="D3" s="85"/>
      <c r="E3" s="85"/>
    </row>
    <row r="4" spans="1:5" s="42" customFormat="1" ht="13.8" x14ac:dyDescent="0.25">
      <c r="A4" s="86" t="s">
        <v>91</v>
      </c>
      <c r="B4" s="85"/>
      <c r="C4" s="85"/>
      <c r="D4" s="85"/>
      <c r="E4" s="85"/>
    </row>
    <row r="5" spans="1:5" s="42" customFormat="1" ht="13.8" x14ac:dyDescent="0.25">
      <c r="A5" s="86" t="s">
        <v>92</v>
      </c>
      <c r="B5" s="85"/>
      <c r="C5" s="85"/>
      <c r="D5" s="85"/>
      <c r="E5" s="85"/>
    </row>
    <row r="6" spans="1:5" s="42" customFormat="1" ht="13.8" x14ac:dyDescent="0.25">
      <c r="A6" s="87"/>
      <c r="B6" s="88"/>
      <c r="C6" s="88"/>
      <c r="D6" s="88"/>
      <c r="E6" s="85"/>
    </row>
    <row r="7" spans="1:5" s="42" customFormat="1" ht="26.4" x14ac:dyDescent="0.25">
      <c r="A7" s="264" t="s">
        <v>3</v>
      </c>
      <c r="B7" s="89" t="s">
        <v>93</v>
      </c>
      <c r="C7" s="90" t="s">
        <v>94</v>
      </c>
      <c r="D7" s="90" t="s">
        <v>6</v>
      </c>
      <c r="E7" s="91" t="s">
        <v>7</v>
      </c>
    </row>
    <row r="8" spans="1:5" s="42" customFormat="1" ht="15" customHeight="1" x14ac:dyDescent="0.25">
      <c r="A8" s="265"/>
      <c r="B8" s="92" t="s">
        <v>10</v>
      </c>
      <c r="C8" s="92" t="s">
        <v>11</v>
      </c>
      <c r="D8" s="92" t="s">
        <v>10</v>
      </c>
      <c r="E8" s="33" t="s">
        <v>11</v>
      </c>
    </row>
    <row r="9" spans="1:5" x14ac:dyDescent="0.3">
      <c r="A9" s="100" t="s">
        <v>38</v>
      </c>
      <c r="D9">
        <v>0</v>
      </c>
      <c r="E9">
        <v>0</v>
      </c>
    </row>
    <row r="10" spans="1:5" x14ac:dyDescent="0.3">
      <c r="A10" s="100" t="s">
        <v>39</v>
      </c>
      <c r="B10">
        <v>0</v>
      </c>
      <c r="C10">
        <v>213750</v>
      </c>
      <c r="D10">
        <v>213750</v>
      </c>
      <c r="E10">
        <v>213750</v>
      </c>
    </row>
    <row r="11" spans="1:5" x14ac:dyDescent="0.3">
      <c r="A11" s="101" t="s">
        <v>41</v>
      </c>
      <c r="B11">
        <v>0</v>
      </c>
      <c r="C11">
        <v>458988.33333333337</v>
      </c>
      <c r="D11">
        <v>458988.33333333337</v>
      </c>
      <c r="E11">
        <v>458988.33333333337</v>
      </c>
    </row>
    <row r="12" spans="1:5" x14ac:dyDescent="0.3">
      <c r="A12" s="101" t="s">
        <v>42</v>
      </c>
      <c r="B12">
        <v>0</v>
      </c>
      <c r="C12">
        <v>69400</v>
      </c>
      <c r="D12">
        <v>69400</v>
      </c>
      <c r="E12">
        <v>69400</v>
      </c>
    </row>
    <row r="13" spans="1:5" ht="53.4" x14ac:dyDescent="0.3">
      <c r="A13" s="101" t="s">
        <v>95</v>
      </c>
    </row>
    <row r="14" spans="1:5" x14ac:dyDescent="0.3">
      <c r="A14" s="101" t="s">
        <v>50</v>
      </c>
      <c r="B14">
        <v>0</v>
      </c>
      <c r="D14">
        <v>0</v>
      </c>
      <c r="E14">
        <v>0</v>
      </c>
    </row>
    <row r="15" spans="1:5" x14ac:dyDescent="0.3">
      <c r="A15" s="101" t="s">
        <v>48</v>
      </c>
      <c r="B15">
        <v>0</v>
      </c>
      <c r="C15">
        <v>0</v>
      </c>
      <c r="D15">
        <v>0</v>
      </c>
      <c r="E15">
        <v>0</v>
      </c>
    </row>
    <row r="16" spans="1:5" ht="15" thickBot="1" x14ac:dyDescent="0.35">
      <c r="A16" s="102" t="s">
        <v>56</v>
      </c>
      <c r="B16">
        <v>0</v>
      </c>
      <c r="C16">
        <v>59371.040000000001</v>
      </c>
      <c r="D16">
        <v>59371.040000000001</v>
      </c>
      <c r="E16">
        <v>59371.040000000001</v>
      </c>
    </row>
    <row r="17" spans="1:5" s="38" customFormat="1" ht="18" thickBot="1" x14ac:dyDescent="0.35">
      <c r="A17" s="93" t="s">
        <v>96</v>
      </c>
      <c r="B17" s="38">
        <v>0</v>
      </c>
      <c r="C17" s="38">
        <v>801509.37333333341</v>
      </c>
      <c r="D17" s="38">
        <v>801509.37333333341</v>
      </c>
      <c r="E17" s="38">
        <v>801509.37333333341</v>
      </c>
    </row>
    <row r="18" spans="1:5" x14ac:dyDescent="0.3">
      <c r="A18" s="94"/>
    </row>
    <row r="19" spans="1:5" ht="26.4" x14ac:dyDescent="0.3">
      <c r="A19" s="262" t="s">
        <v>22</v>
      </c>
      <c r="B19" s="89" t="s">
        <v>93</v>
      </c>
      <c r="C19" s="90" t="s">
        <v>94</v>
      </c>
      <c r="D19" s="90" t="s">
        <v>6</v>
      </c>
      <c r="E19" s="91" t="s">
        <v>7</v>
      </c>
    </row>
    <row r="20" spans="1:5" x14ac:dyDescent="0.3">
      <c r="A20" s="263"/>
      <c r="B20" s="92" t="s">
        <v>10</v>
      </c>
      <c r="C20" s="92" t="s">
        <v>11</v>
      </c>
      <c r="D20" s="92" t="s">
        <v>10</v>
      </c>
      <c r="E20" s="33" t="s">
        <v>11</v>
      </c>
    </row>
    <row r="21" spans="1:5" x14ac:dyDescent="0.3">
      <c r="A21" s="95" t="s">
        <v>97</v>
      </c>
      <c r="B21">
        <v>0</v>
      </c>
      <c r="C21">
        <v>0</v>
      </c>
      <c r="D21">
        <v>0</v>
      </c>
      <c r="E21">
        <v>0</v>
      </c>
    </row>
    <row r="22" spans="1:5" x14ac:dyDescent="0.3">
      <c r="A22" s="95" t="s">
        <v>98</v>
      </c>
      <c r="B22">
        <v>0</v>
      </c>
      <c r="C22">
        <v>580890</v>
      </c>
      <c r="D22">
        <v>580890</v>
      </c>
      <c r="E22">
        <v>580890</v>
      </c>
    </row>
    <row r="23" spans="1:5" x14ac:dyDescent="0.3">
      <c r="A23" s="95" t="s">
        <v>99</v>
      </c>
      <c r="B23">
        <v>0</v>
      </c>
      <c r="C23">
        <v>123310</v>
      </c>
      <c r="D23">
        <v>123310</v>
      </c>
      <c r="E23">
        <v>123310</v>
      </c>
    </row>
    <row r="24" spans="1:5" x14ac:dyDescent="0.3">
      <c r="A24" s="95" t="s">
        <v>100</v>
      </c>
      <c r="B24">
        <v>0</v>
      </c>
      <c r="C24">
        <v>0</v>
      </c>
      <c r="D24">
        <v>0</v>
      </c>
      <c r="E24">
        <v>0</v>
      </c>
    </row>
    <row r="25" spans="1:5" x14ac:dyDescent="0.3">
      <c r="A25" s="95" t="s">
        <v>101</v>
      </c>
      <c r="B25">
        <v>0</v>
      </c>
      <c r="C25">
        <v>30000</v>
      </c>
      <c r="D25">
        <v>30000</v>
      </c>
      <c r="E25">
        <v>30000</v>
      </c>
    </row>
    <row r="26" spans="1:5" ht="15" thickBot="1" x14ac:dyDescent="0.35">
      <c r="A26" s="95" t="s">
        <v>56</v>
      </c>
      <c r="B26">
        <v>0</v>
      </c>
      <c r="C26">
        <v>255591.6</v>
      </c>
      <c r="D26">
        <v>255591.6</v>
      </c>
      <c r="E26">
        <v>255591.6</v>
      </c>
    </row>
    <row r="27" spans="1:5" s="38" customFormat="1" ht="15" thickBot="1" x14ac:dyDescent="0.35">
      <c r="A27" s="103" t="s">
        <v>21</v>
      </c>
      <c r="B27" s="38">
        <v>0</v>
      </c>
      <c r="C27" s="38">
        <v>989791.6</v>
      </c>
      <c r="D27" s="38">
        <v>989791.6</v>
      </c>
      <c r="E27" s="38">
        <v>989791.6</v>
      </c>
    </row>
    <row r="28" spans="1:5" x14ac:dyDescent="0.3">
      <c r="A28" s="96"/>
    </row>
    <row r="29" spans="1:5" x14ac:dyDescent="0.3">
      <c r="A29" s="97" t="s">
        <v>25</v>
      </c>
    </row>
    <row r="30" spans="1:5" x14ac:dyDescent="0.3">
      <c r="A30" s="98" t="s">
        <v>8</v>
      </c>
    </row>
    <row r="31" spans="1:5" ht="40.799999999999997" thickBot="1" x14ac:dyDescent="0.35">
      <c r="A31" s="99" t="s">
        <v>102</v>
      </c>
      <c r="B31" s="89" t="s">
        <v>93</v>
      </c>
      <c r="C31" s="90" t="s">
        <v>94</v>
      </c>
      <c r="D31" s="90" t="s">
        <v>6</v>
      </c>
      <c r="E31" s="91" t="s">
        <v>7</v>
      </c>
    </row>
    <row r="32" spans="1:5" ht="15" thickBot="1" x14ac:dyDescent="0.35">
      <c r="A32" s="104"/>
      <c r="B32" s="92" t="s">
        <v>10</v>
      </c>
      <c r="C32" s="92" t="s">
        <v>11</v>
      </c>
      <c r="D32" s="92" t="s">
        <v>10</v>
      </c>
      <c r="E32" s="33" t="s">
        <v>11</v>
      </c>
    </row>
    <row r="33" spans="1:5" ht="15" thickBot="1" x14ac:dyDescent="0.35">
      <c r="A33" s="105" t="s">
        <v>21</v>
      </c>
      <c r="B33">
        <v>0</v>
      </c>
      <c r="C33">
        <v>0</v>
      </c>
      <c r="D33">
        <v>0</v>
      </c>
      <c r="E33">
        <v>0</v>
      </c>
    </row>
    <row r="34" spans="1:5" x14ac:dyDescent="0.3">
      <c r="A34" s="260" t="s">
        <v>28</v>
      </c>
    </row>
    <row r="35" spans="1:5" ht="26.4" x14ac:dyDescent="0.3">
      <c r="A35" s="261"/>
      <c r="B35" s="89" t="s">
        <v>93</v>
      </c>
      <c r="C35" s="90" t="s">
        <v>94</v>
      </c>
      <c r="D35" s="90" t="s">
        <v>6</v>
      </c>
      <c r="E35" s="91" t="s">
        <v>7</v>
      </c>
    </row>
    <row r="36" spans="1:5" x14ac:dyDescent="0.3">
      <c r="A36" s="261"/>
      <c r="B36" s="92" t="s">
        <v>10</v>
      </c>
      <c r="C36" s="92" t="s">
        <v>11</v>
      </c>
      <c r="D36" s="92" t="s">
        <v>10</v>
      </c>
      <c r="E36" s="33" t="s">
        <v>11</v>
      </c>
    </row>
    <row r="37" spans="1:5" s="38" customFormat="1" x14ac:dyDescent="0.3">
      <c r="A37" s="261"/>
      <c r="B37" s="38">
        <v>0</v>
      </c>
      <c r="C37" s="38">
        <v>1791300.9733333334</v>
      </c>
      <c r="D37" s="38">
        <v>1791300.9733333334</v>
      </c>
      <c r="E37" s="38">
        <v>1791300.9733333334</v>
      </c>
    </row>
  </sheetData>
  <mergeCells count="3">
    <mergeCell ref="A34:A37"/>
    <mergeCell ref="A19:A20"/>
    <mergeCell ref="A7:A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7B1E8-5D87-49C4-9606-48ACAD4EB273}">
  <dimension ref="A1:F46"/>
  <sheetViews>
    <sheetView tabSelected="1" topLeftCell="B1" workbookViewId="0">
      <selection activeCell="G3" sqref="G3"/>
    </sheetView>
  </sheetViews>
  <sheetFormatPr defaultRowHeight="14.4" x14ac:dyDescent="0.3"/>
  <cols>
    <col min="1" max="1" width="15.88671875" style="41" customWidth="1"/>
    <col min="2" max="2" width="20.21875" style="5" customWidth="1"/>
    <col min="3" max="3" width="15.5546875" style="5" customWidth="1"/>
    <col min="4" max="4" width="14.88671875" style="5" customWidth="1"/>
    <col min="5" max="5" width="16.109375" style="5" customWidth="1"/>
    <col min="6" max="6" width="17.77734375" style="5" customWidth="1"/>
    <col min="7" max="16384" width="8.88671875" style="5"/>
  </cols>
  <sheetData>
    <row r="1" spans="1:6" x14ac:dyDescent="0.3">
      <c r="A1" s="187" t="s">
        <v>31</v>
      </c>
      <c r="B1" s="188" t="s">
        <v>32</v>
      </c>
      <c r="C1" s="188" t="s">
        <v>33</v>
      </c>
      <c r="D1" s="188" t="s">
        <v>34</v>
      </c>
      <c r="E1" s="188" t="s">
        <v>249</v>
      </c>
      <c r="F1" s="274" t="s">
        <v>279</v>
      </c>
    </row>
    <row r="2" spans="1:6" x14ac:dyDescent="0.3">
      <c r="A2" s="189" t="s">
        <v>219</v>
      </c>
      <c r="B2" s="190">
        <v>43981</v>
      </c>
      <c r="C2" s="190"/>
      <c r="D2" s="190"/>
      <c r="E2" s="190"/>
      <c r="F2" s="191"/>
    </row>
    <row r="3" spans="1:6" x14ac:dyDescent="0.3">
      <c r="A3" s="187" t="s">
        <v>220</v>
      </c>
      <c r="B3" s="192"/>
      <c r="C3" s="192"/>
      <c r="D3" s="192"/>
      <c r="E3" s="192"/>
      <c r="F3" s="191"/>
    </row>
    <row r="4" spans="1:6" x14ac:dyDescent="0.3">
      <c r="A4" s="187" t="s">
        <v>221</v>
      </c>
      <c r="B4" s="193" t="s">
        <v>222</v>
      </c>
      <c r="C4" s="192"/>
      <c r="D4" s="192"/>
      <c r="E4" s="192"/>
      <c r="F4" s="191"/>
    </row>
    <row r="5" spans="1:6" x14ac:dyDescent="0.3">
      <c r="A5" s="187" t="s">
        <v>223</v>
      </c>
      <c r="B5" s="192"/>
      <c r="C5" s="192"/>
      <c r="D5" s="192"/>
      <c r="E5" s="192"/>
      <c r="F5" s="191"/>
    </row>
    <row r="6" spans="1:6" x14ac:dyDescent="0.3">
      <c r="A6" s="187" t="s">
        <v>224</v>
      </c>
      <c r="B6" s="192"/>
      <c r="C6" s="192"/>
      <c r="D6" s="192"/>
      <c r="E6" s="192"/>
      <c r="F6" s="191"/>
    </row>
    <row r="7" spans="1:6" s="41" customFormat="1" x14ac:dyDescent="0.3">
      <c r="A7" s="187" t="s">
        <v>225</v>
      </c>
      <c r="B7" s="192"/>
      <c r="C7" s="193" t="s">
        <v>225</v>
      </c>
      <c r="D7" s="192"/>
      <c r="E7" s="192"/>
    </row>
    <row r="8" spans="1:6" s="41" customFormat="1" ht="41.4" x14ac:dyDescent="0.3">
      <c r="A8" s="41" t="s">
        <v>3</v>
      </c>
      <c r="B8" s="194" t="s">
        <v>4</v>
      </c>
      <c r="C8" s="194" t="s">
        <v>5</v>
      </c>
      <c r="D8" s="194" t="s">
        <v>6</v>
      </c>
      <c r="E8" s="194" t="s">
        <v>7</v>
      </c>
    </row>
    <row r="9" spans="1:6" x14ac:dyDescent="0.3">
      <c r="A9" s="41" t="s">
        <v>8</v>
      </c>
      <c r="B9" s="41" t="s">
        <v>10</v>
      </c>
      <c r="C9" s="41" t="s">
        <v>10</v>
      </c>
      <c r="D9" s="41" t="s">
        <v>11</v>
      </c>
      <c r="E9" s="41" t="s">
        <v>10</v>
      </c>
    </row>
    <row r="10" spans="1:6" x14ac:dyDescent="0.3">
      <c r="A10" s="41" t="s">
        <v>226</v>
      </c>
      <c r="C10" s="5">
        <v>139663</v>
      </c>
      <c r="D10" s="5">
        <v>139663</v>
      </c>
      <c r="E10" s="5">
        <v>139663</v>
      </c>
    </row>
    <row r="11" spans="1:6" x14ac:dyDescent="0.3">
      <c r="A11" s="41" t="s">
        <v>227</v>
      </c>
      <c r="C11" s="5">
        <v>217956.52173913043</v>
      </c>
      <c r="D11" s="5">
        <v>217956.52173913043</v>
      </c>
      <c r="E11" s="5">
        <v>217956.52173913043</v>
      </c>
      <c r="F11" s="5">
        <f>SUM(E11:E12)</f>
        <v>435913.04347826086</v>
      </c>
    </row>
    <row r="12" spans="1:6" x14ac:dyDescent="0.3">
      <c r="A12" s="41" t="s">
        <v>228</v>
      </c>
      <c r="C12" s="5">
        <v>217956.52173913043</v>
      </c>
      <c r="D12" s="5">
        <v>217956.52173913043</v>
      </c>
      <c r="E12" s="5">
        <v>217956.52173913043</v>
      </c>
    </row>
    <row r="13" spans="1:6" x14ac:dyDescent="0.3">
      <c r="A13" s="41" t="s">
        <v>229</v>
      </c>
      <c r="C13" s="5">
        <v>335913</v>
      </c>
      <c r="D13" s="5">
        <v>335913</v>
      </c>
      <c r="E13" s="5">
        <v>335913</v>
      </c>
    </row>
    <row r="14" spans="1:6" x14ac:dyDescent="0.3">
      <c r="A14" s="41" t="s">
        <v>230</v>
      </c>
      <c r="C14" s="5">
        <v>12841</v>
      </c>
      <c r="D14" s="5">
        <v>12841</v>
      </c>
      <c r="E14" s="5">
        <v>12841</v>
      </c>
    </row>
    <row r="15" spans="1:6" x14ac:dyDescent="0.3">
      <c r="A15" s="41" t="s">
        <v>42</v>
      </c>
      <c r="C15" s="5">
        <v>126000</v>
      </c>
      <c r="D15" s="5">
        <v>126000</v>
      </c>
      <c r="E15" s="5">
        <v>126000</v>
      </c>
    </row>
    <row r="16" spans="1:6" x14ac:dyDescent="0.3">
      <c r="A16" s="41" t="s">
        <v>231</v>
      </c>
      <c r="C16" s="5">
        <v>144127</v>
      </c>
      <c r="D16" s="5">
        <v>144127</v>
      </c>
      <c r="E16" s="5">
        <v>144127</v>
      </c>
    </row>
    <row r="17" spans="1:5" x14ac:dyDescent="0.3">
      <c r="A17" s="41" t="s">
        <v>232</v>
      </c>
      <c r="C17" s="5">
        <v>21739</v>
      </c>
      <c r="D17" s="5">
        <v>21739</v>
      </c>
      <c r="E17" s="5">
        <v>21739</v>
      </c>
    </row>
    <row r="18" spans="1:5" x14ac:dyDescent="0.3">
      <c r="A18" s="41" t="s">
        <v>233</v>
      </c>
      <c r="C18" s="5">
        <v>15652</v>
      </c>
      <c r="D18" s="5">
        <v>15652</v>
      </c>
      <c r="E18" s="5">
        <v>15652</v>
      </c>
    </row>
    <row r="19" spans="1:5" x14ac:dyDescent="0.3">
      <c r="A19" s="41" t="s">
        <v>46</v>
      </c>
      <c r="C19" s="5">
        <v>202520</v>
      </c>
      <c r="D19" s="5">
        <v>202520</v>
      </c>
      <c r="E19" s="5">
        <v>202520</v>
      </c>
    </row>
    <row r="20" spans="1:5" x14ac:dyDescent="0.3">
      <c r="A20" s="41" t="s">
        <v>234</v>
      </c>
      <c r="C20" s="5">
        <v>81134</v>
      </c>
      <c r="D20" s="5">
        <v>81134</v>
      </c>
      <c r="E20" s="5">
        <v>81134</v>
      </c>
    </row>
    <row r="21" spans="1:5" x14ac:dyDescent="0.3">
      <c r="A21" s="41" t="s">
        <v>235</v>
      </c>
      <c r="C21" s="5">
        <v>16000</v>
      </c>
      <c r="D21" s="5">
        <v>16000</v>
      </c>
      <c r="E21" s="5">
        <v>16000</v>
      </c>
    </row>
    <row r="22" spans="1:5" x14ac:dyDescent="0.3">
      <c r="A22" s="41" t="s">
        <v>236</v>
      </c>
      <c r="C22" s="5">
        <v>6400</v>
      </c>
      <c r="D22" s="5">
        <v>6400</v>
      </c>
      <c r="E22" s="5">
        <v>6400</v>
      </c>
    </row>
    <row r="23" spans="1:5" x14ac:dyDescent="0.3">
      <c r="A23" s="41" t="s">
        <v>83</v>
      </c>
      <c r="C23" s="5">
        <v>1537902.0434782607</v>
      </c>
      <c r="D23" s="5">
        <v>1537902.0434782607</v>
      </c>
      <c r="E23" s="5">
        <v>1537902.0434782607</v>
      </c>
    </row>
    <row r="24" spans="1:5" x14ac:dyDescent="0.3">
      <c r="A24" s="41" t="s">
        <v>237</v>
      </c>
      <c r="C24" s="5">
        <v>123032.16347826086</v>
      </c>
      <c r="D24" s="5">
        <v>123032.16347826086</v>
      </c>
      <c r="E24" s="5">
        <v>123032.16347826086</v>
      </c>
    </row>
    <row r="25" spans="1:5" s="41" customFormat="1" x14ac:dyDescent="0.3">
      <c r="A25" s="41" t="s">
        <v>21</v>
      </c>
      <c r="B25" s="41">
        <v>0</v>
      </c>
      <c r="C25" s="41">
        <v>1660934.2069565216</v>
      </c>
      <c r="D25" s="41">
        <v>1660934.2069565216</v>
      </c>
      <c r="E25" s="41">
        <v>1660934.2069565216</v>
      </c>
    </row>
    <row r="26" spans="1:5" s="41" customFormat="1" x14ac:dyDescent="0.3">
      <c r="B26" s="5"/>
      <c r="C26" s="5"/>
      <c r="D26" s="5"/>
      <c r="E26" s="5"/>
    </row>
    <row r="27" spans="1:5" s="41" customFormat="1" ht="41.4" x14ac:dyDescent="0.3">
      <c r="A27" s="41" t="s">
        <v>22</v>
      </c>
      <c r="B27" s="194" t="s">
        <v>4</v>
      </c>
      <c r="C27" s="194" t="s">
        <v>5</v>
      </c>
      <c r="D27" s="194" t="s">
        <v>6</v>
      </c>
      <c r="E27" s="194" t="s">
        <v>7</v>
      </c>
    </row>
    <row r="28" spans="1:5" x14ac:dyDescent="0.3">
      <c r="A28" s="41" t="s">
        <v>238</v>
      </c>
      <c r="B28" s="41" t="s">
        <v>10</v>
      </c>
      <c r="C28" s="41" t="s">
        <v>10</v>
      </c>
      <c r="D28" s="41" t="s">
        <v>11</v>
      </c>
      <c r="E28" s="41" t="s">
        <v>10</v>
      </c>
    </row>
    <row r="29" spans="1:5" x14ac:dyDescent="0.3">
      <c r="A29" s="41" t="s">
        <v>239</v>
      </c>
      <c r="C29" s="5">
        <v>500000</v>
      </c>
      <c r="D29" s="5">
        <v>500000</v>
      </c>
      <c r="E29" s="5">
        <v>500000</v>
      </c>
    </row>
    <row r="30" spans="1:5" x14ac:dyDescent="0.3">
      <c r="A30" s="41" t="s">
        <v>240</v>
      </c>
      <c r="C30" s="5">
        <v>100000</v>
      </c>
      <c r="D30" s="5">
        <v>100000</v>
      </c>
      <c r="E30" s="5">
        <v>100000</v>
      </c>
    </row>
    <row r="31" spans="1:5" x14ac:dyDescent="0.3">
      <c r="A31" s="41" t="s">
        <v>241</v>
      </c>
      <c r="C31" s="5">
        <v>175000</v>
      </c>
      <c r="D31" s="5">
        <v>175000</v>
      </c>
      <c r="E31" s="5">
        <v>175000</v>
      </c>
    </row>
    <row r="32" spans="1:5" x14ac:dyDescent="0.3">
      <c r="A32" s="41" t="s">
        <v>242</v>
      </c>
      <c r="C32" s="5">
        <v>50000</v>
      </c>
      <c r="D32" s="5">
        <v>50000</v>
      </c>
      <c r="E32" s="5">
        <v>50000</v>
      </c>
    </row>
    <row r="33" spans="1:5" x14ac:dyDescent="0.3">
      <c r="A33" s="41" t="s">
        <v>243</v>
      </c>
      <c r="C33" s="5">
        <v>25000</v>
      </c>
      <c r="D33" s="5">
        <v>25000</v>
      </c>
      <c r="E33" s="5">
        <v>25000</v>
      </c>
    </row>
    <row r="34" spans="1:5" x14ac:dyDescent="0.3">
      <c r="A34" s="41" t="s">
        <v>244</v>
      </c>
      <c r="C34" s="5">
        <v>230000</v>
      </c>
      <c r="D34" s="5">
        <v>230000</v>
      </c>
      <c r="E34" s="5">
        <v>230000</v>
      </c>
    </row>
    <row r="35" spans="1:5" x14ac:dyDescent="0.3">
      <c r="A35" s="41" t="s">
        <v>245</v>
      </c>
      <c r="C35" s="5">
        <v>125000</v>
      </c>
      <c r="D35" s="5">
        <v>125000</v>
      </c>
      <c r="E35" s="5">
        <v>125000</v>
      </c>
    </row>
    <row r="36" spans="1:5" x14ac:dyDescent="0.3">
      <c r="A36" s="41" t="s">
        <v>246</v>
      </c>
      <c r="C36" s="5">
        <v>43750</v>
      </c>
      <c r="D36" s="5">
        <v>43750</v>
      </c>
      <c r="E36" s="5">
        <v>43750</v>
      </c>
    </row>
    <row r="37" spans="1:5" x14ac:dyDescent="0.3">
      <c r="A37" s="41" t="s">
        <v>247</v>
      </c>
      <c r="C37" s="5">
        <v>25000</v>
      </c>
      <c r="D37" s="5">
        <v>25000</v>
      </c>
      <c r="E37" s="5">
        <v>25000</v>
      </c>
    </row>
    <row r="38" spans="1:5" s="41" customFormat="1" x14ac:dyDescent="0.3">
      <c r="A38" s="41" t="s">
        <v>21</v>
      </c>
      <c r="B38" s="41">
        <v>0</v>
      </c>
      <c r="C38" s="41">
        <v>1273750</v>
      </c>
      <c r="D38" s="41">
        <v>1273750</v>
      </c>
      <c r="E38" s="41">
        <v>1273750</v>
      </c>
    </row>
    <row r="39" spans="1:5" s="41" customFormat="1" x14ac:dyDescent="0.3">
      <c r="B39" s="5"/>
      <c r="C39" s="5"/>
      <c r="D39" s="5"/>
      <c r="E39" s="5"/>
    </row>
    <row r="40" spans="1:5" s="41" customFormat="1" ht="41.4" x14ac:dyDescent="0.3">
      <c r="A40" s="41" t="s">
        <v>248</v>
      </c>
      <c r="B40" s="194" t="s">
        <v>4</v>
      </c>
      <c r="C40" s="194" t="s">
        <v>5</v>
      </c>
      <c r="D40" s="194" t="s">
        <v>6</v>
      </c>
      <c r="E40" s="194" t="s">
        <v>7</v>
      </c>
    </row>
    <row r="41" spans="1:5" x14ac:dyDescent="0.3">
      <c r="B41" s="41" t="s">
        <v>10</v>
      </c>
      <c r="C41" s="41" t="s">
        <v>10</v>
      </c>
      <c r="D41" s="41" t="s">
        <v>10</v>
      </c>
      <c r="E41" s="41" t="s">
        <v>10</v>
      </c>
    </row>
    <row r="42" spans="1:5" x14ac:dyDescent="0.3">
      <c r="A42" s="41" t="s">
        <v>27</v>
      </c>
      <c r="B42" s="5">
        <v>0</v>
      </c>
      <c r="C42" s="41">
        <v>144000</v>
      </c>
      <c r="D42" s="41">
        <v>144000</v>
      </c>
      <c r="E42" s="41">
        <v>144000</v>
      </c>
    </row>
    <row r="43" spans="1:5" s="41" customFormat="1" x14ac:dyDescent="0.3">
      <c r="B43" s="5"/>
      <c r="C43" s="5"/>
      <c r="D43" s="5"/>
      <c r="E43" s="5"/>
    </row>
    <row r="44" spans="1:5" s="41" customFormat="1" ht="41.4" x14ac:dyDescent="0.3">
      <c r="A44" s="41" t="s">
        <v>28</v>
      </c>
      <c r="B44" s="194" t="s">
        <v>4</v>
      </c>
      <c r="C44" s="194" t="s">
        <v>5</v>
      </c>
      <c r="D44" s="194" t="s">
        <v>6</v>
      </c>
      <c r="E44" s="194" t="s">
        <v>7</v>
      </c>
    </row>
    <row r="45" spans="1:5" s="41" customFormat="1" x14ac:dyDescent="0.3">
      <c r="B45" s="41" t="s">
        <v>10</v>
      </c>
      <c r="C45" s="41" t="s">
        <v>10</v>
      </c>
      <c r="D45" s="41" t="s">
        <v>10</v>
      </c>
      <c r="E45" s="41" t="s">
        <v>10</v>
      </c>
    </row>
    <row r="46" spans="1:5" x14ac:dyDescent="0.3">
      <c r="B46" s="41">
        <v>0</v>
      </c>
      <c r="C46" s="41">
        <f>SUM(C25+C38+C42)</f>
        <v>3078684.2069565216</v>
      </c>
      <c r="D46" s="41">
        <f t="shared" ref="D46:E46" si="0">SUM(D25+D38+D42)</f>
        <v>3078684.2069565216</v>
      </c>
      <c r="E46" s="41">
        <f t="shared" si="0"/>
        <v>3078684.2069565216</v>
      </c>
    </row>
  </sheetData>
  <phoneticPr fontId="25" type="noConversion"/>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E675B-534F-4BE1-BBCA-1B55B86B4021}">
  <dimension ref="A1:H77"/>
  <sheetViews>
    <sheetView topLeftCell="C1" workbookViewId="0">
      <selection activeCell="F12" sqref="F12"/>
    </sheetView>
  </sheetViews>
  <sheetFormatPr defaultRowHeight="14.4" x14ac:dyDescent="0.3"/>
  <cols>
    <col min="1" max="1" width="18" customWidth="1"/>
    <col min="2" max="2" width="23.44140625" customWidth="1"/>
    <col min="3" max="3" width="19.6640625" customWidth="1"/>
    <col min="4" max="4" width="16.88671875" customWidth="1"/>
    <col min="5" max="5" width="15.21875" customWidth="1"/>
    <col min="6" max="6" width="14.5546875" customWidth="1"/>
    <col min="7" max="7" width="17" customWidth="1"/>
    <col min="8" max="8" width="19.88671875" customWidth="1"/>
  </cols>
  <sheetData>
    <row r="1" spans="1:8" x14ac:dyDescent="0.3">
      <c r="A1" s="270" t="s">
        <v>103</v>
      </c>
      <c r="B1" s="270"/>
      <c r="C1" s="270"/>
      <c r="D1" s="270"/>
      <c r="E1" s="270"/>
      <c r="F1" s="270"/>
      <c r="G1" s="270"/>
      <c r="H1" s="270"/>
    </row>
    <row r="2" spans="1:8" x14ac:dyDescent="0.3">
      <c r="A2" s="270"/>
      <c r="B2" s="270"/>
      <c r="C2" s="270"/>
      <c r="D2" s="270"/>
      <c r="E2" s="270"/>
      <c r="F2" s="270"/>
      <c r="G2" s="270"/>
      <c r="H2" s="270"/>
    </row>
    <row r="3" spans="1:8" x14ac:dyDescent="0.3">
      <c r="A3" s="270"/>
      <c r="B3" s="270"/>
      <c r="C3" s="270"/>
      <c r="D3" s="270"/>
      <c r="E3" s="270"/>
      <c r="F3" s="270"/>
      <c r="G3" s="270"/>
      <c r="H3" s="270"/>
    </row>
    <row r="4" spans="1:8" x14ac:dyDescent="0.3">
      <c r="A4" s="270"/>
      <c r="B4" s="270"/>
      <c r="C4" s="270"/>
      <c r="D4" s="270"/>
      <c r="E4" s="270"/>
      <c r="F4" s="270"/>
      <c r="G4" s="270"/>
      <c r="H4" s="270"/>
    </row>
    <row r="5" spans="1:8" ht="17.399999999999999" x14ac:dyDescent="0.3">
      <c r="A5" s="271" t="s">
        <v>104</v>
      </c>
      <c r="B5" s="271"/>
      <c r="C5" s="271"/>
      <c r="D5" s="271"/>
      <c r="E5" s="271"/>
      <c r="F5" s="271"/>
      <c r="G5" s="271"/>
      <c r="H5" s="271"/>
    </row>
    <row r="6" spans="1:8" ht="15.6" x14ac:dyDescent="0.3">
      <c r="A6" s="272" t="s">
        <v>105</v>
      </c>
      <c r="B6" s="272"/>
      <c r="C6" s="272"/>
      <c r="D6" s="272"/>
      <c r="E6" s="272"/>
      <c r="F6" s="272"/>
      <c r="G6" s="272"/>
      <c r="H6" s="272"/>
    </row>
    <row r="7" spans="1:8" ht="15.6" x14ac:dyDescent="0.3">
      <c r="A7" s="272" t="s">
        <v>106</v>
      </c>
      <c r="B7" s="272"/>
      <c r="C7" s="272"/>
      <c r="D7" s="272"/>
      <c r="E7" s="272"/>
      <c r="F7" s="272"/>
      <c r="G7" s="272"/>
      <c r="H7" s="272"/>
    </row>
    <row r="8" spans="1:8" ht="15.6" x14ac:dyDescent="0.3">
      <c r="A8" s="272" t="s">
        <v>107</v>
      </c>
      <c r="B8" s="272"/>
      <c r="C8" s="272"/>
      <c r="D8" s="272"/>
      <c r="E8" s="272"/>
      <c r="F8" s="272"/>
      <c r="G8" s="272"/>
      <c r="H8" s="272"/>
    </row>
    <row r="9" spans="1:8" ht="15.6" x14ac:dyDescent="0.3">
      <c r="A9" s="273"/>
      <c r="B9" s="273"/>
      <c r="C9" s="273"/>
      <c r="D9" s="273"/>
      <c r="E9" s="273"/>
      <c r="F9" s="273"/>
      <c r="G9" s="273"/>
      <c r="H9" s="273"/>
    </row>
    <row r="10" spans="1:8" x14ac:dyDescent="0.3">
      <c r="A10" s="266"/>
      <c r="B10" s="266"/>
      <c r="C10" s="266"/>
      <c r="D10" s="266"/>
      <c r="E10" s="266"/>
      <c r="F10" s="266"/>
      <c r="G10" s="266"/>
      <c r="H10" s="266"/>
    </row>
    <row r="11" spans="1:8" ht="31.2" x14ac:dyDescent="0.3">
      <c r="A11" s="106" t="s">
        <v>108</v>
      </c>
      <c r="B11" s="106" t="s">
        <v>109</v>
      </c>
      <c r="C11" s="107" t="s">
        <v>110</v>
      </c>
      <c r="D11" s="108" t="s">
        <v>111</v>
      </c>
      <c r="E11" s="108" t="s">
        <v>112</v>
      </c>
      <c r="F11" s="109" t="s">
        <v>113</v>
      </c>
      <c r="G11" s="110" t="s">
        <v>114</v>
      </c>
      <c r="H11" s="108" t="s">
        <v>10</v>
      </c>
    </row>
    <row r="12" spans="1:8" ht="15.6" x14ac:dyDescent="0.3">
      <c r="A12" s="111"/>
      <c r="B12" s="106" t="s">
        <v>115</v>
      </c>
      <c r="C12" s="111"/>
      <c r="D12" s="111"/>
      <c r="E12" s="111"/>
      <c r="F12" s="111"/>
      <c r="G12" s="112"/>
      <c r="H12" s="111"/>
    </row>
    <row r="13" spans="1:8" ht="15.6" x14ac:dyDescent="0.3">
      <c r="A13" s="111"/>
      <c r="B13" s="113" t="s">
        <v>116</v>
      </c>
      <c r="C13" s="111" t="s">
        <v>117</v>
      </c>
      <c r="D13" s="111" t="s">
        <v>118</v>
      </c>
      <c r="E13" s="111">
        <v>50</v>
      </c>
      <c r="F13" s="111">
        <v>8000</v>
      </c>
      <c r="G13" s="112">
        <f>E13*F13</f>
        <v>400000</v>
      </c>
      <c r="H13" s="114">
        <f>G13/230</f>
        <v>1739.1304347826087</v>
      </c>
    </row>
    <row r="14" spans="1:8" ht="15.6" x14ac:dyDescent="0.3">
      <c r="A14" s="111"/>
      <c r="B14" s="113" t="s">
        <v>119</v>
      </c>
      <c r="C14" s="111" t="s">
        <v>120</v>
      </c>
      <c r="D14" s="111" t="s">
        <v>121</v>
      </c>
      <c r="E14" s="111">
        <v>240</v>
      </c>
      <c r="F14" s="111">
        <v>100</v>
      </c>
      <c r="G14" s="112">
        <f t="shared" ref="G14:G56" si="0">E14*F14</f>
        <v>24000</v>
      </c>
      <c r="H14" s="114">
        <f t="shared" ref="H14:H74" si="1">G14/230</f>
        <v>104.34782608695652</v>
      </c>
    </row>
    <row r="15" spans="1:8" ht="15.6" x14ac:dyDescent="0.3">
      <c r="A15" s="111"/>
      <c r="B15" s="113" t="s">
        <v>122</v>
      </c>
      <c r="C15" s="111" t="s">
        <v>123</v>
      </c>
      <c r="D15" s="111" t="s">
        <v>121</v>
      </c>
      <c r="E15" s="111">
        <v>10</v>
      </c>
      <c r="F15" s="111">
        <v>3000</v>
      </c>
      <c r="G15" s="112">
        <f t="shared" si="0"/>
        <v>30000</v>
      </c>
      <c r="H15" s="114">
        <f t="shared" si="1"/>
        <v>130.43478260869566</v>
      </c>
    </row>
    <row r="16" spans="1:8" ht="15.6" x14ac:dyDescent="0.3">
      <c r="A16" s="111"/>
      <c r="B16" s="113" t="s">
        <v>124</v>
      </c>
      <c r="C16" s="111" t="s">
        <v>125</v>
      </c>
      <c r="D16" s="111" t="s">
        <v>121</v>
      </c>
      <c r="E16" s="111">
        <v>20</v>
      </c>
      <c r="F16" s="111">
        <v>2000</v>
      </c>
      <c r="G16" s="112">
        <f t="shared" si="0"/>
        <v>40000</v>
      </c>
      <c r="H16" s="114">
        <f t="shared" si="1"/>
        <v>173.91304347826087</v>
      </c>
    </row>
    <row r="17" spans="1:8" ht="15.6" x14ac:dyDescent="0.3">
      <c r="A17" s="111"/>
      <c r="B17" s="113" t="s">
        <v>126</v>
      </c>
      <c r="C17" s="111" t="s">
        <v>127</v>
      </c>
      <c r="D17" s="111" t="s">
        <v>121</v>
      </c>
      <c r="E17" s="111">
        <v>4</v>
      </c>
      <c r="F17" s="111">
        <v>80000</v>
      </c>
      <c r="G17" s="112">
        <f t="shared" si="0"/>
        <v>320000</v>
      </c>
      <c r="H17" s="114">
        <f t="shared" si="1"/>
        <v>1391.304347826087</v>
      </c>
    </row>
    <row r="18" spans="1:8" ht="15.6" x14ac:dyDescent="0.3">
      <c r="A18" s="111"/>
      <c r="B18" s="115" t="s">
        <v>128</v>
      </c>
      <c r="C18" s="111" t="s">
        <v>129</v>
      </c>
      <c r="D18" s="111" t="s">
        <v>121</v>
      </c>
      <c r="E18" s="111">
        <v>1</v>
      </c>
      <c r="F18" s="111">
        <v>5000</v>
      </c>
      <c r="G18" s="112">
        <f t="shared" si="0"/>
        <v>5000</v>
      </c>
      <c r="H18" s="114">
        <f t="shared" si="1"/>
        <v>21.739130434782609</v>
      </c>
    </row>
    <row r="19" spans="1:8" ht="15.6" x14ac:dyDescent="0.3">
      <c r="A19" s="111"/>
      <c r="B19" s="115" t="s">
        <v>130</v>
      </c>
      <c r="C19" s="111" t="s">
        <v>131</v>
      </c>
      <c r="D19" s="111" t="s">
        <v>121</v>
      </c>
      <c r="E19" s="111">
        <v>2</v>
      </c>
      <c r="F19" s="111">
        <v>2000000</v>
      </c>
      <c r="G19" s="112">
        <f t="shared" si="0"/>
        <v>4000000</v>
      </c>
      <c r="H19" s="114">
        <f t="shared" si="1"/>
        <v>17391.304347826088</v>
      </c>
    </row>
    <row r="20" spans="1:8" ht="15.6" x14ac:dyDescent="0.3">
      <c r="A20" s="111"/>
      <c r="B20" s="115" t="s">
        <v>132</v>
      </c>
      <c r="C20" s="111" t="s">
        <v>133</v>
      </c>
      <c r="D20" s="111" t="s">
        <v>121</v>
      </c>
      <c r="E20" s="111">
        <v>1</v>
      </c>
      <c r="F20" s="111">
        <v>50000</v>
      </c>
      <c r="G20" s="112">
        <f t="shared" si="0"/>
        <v>50000</v>
      </c>
      <c r="H20" s="114">
        <f t="shared" si="1"/>
        <v>217.39130434782609</v>
      </c>
    </row>
    <row r="21" spans="1:8" ht="15.6" x14ac:dyDescent="0.3">
      <c r="A21" s="111"/>
      <c r="B21" s="115" t="s">
        <v>134</v>
      </c>
      <c r="C21" s="111" t="s">
        <v>135</v>
      </c>
      <c r="D21" s="111" t="s">
        <v>121</v>
      </c>
      <c r="E21" s="111">
        <v>2</v>
      </c>
      <c r="F21" s="111">
        <v>25000</v>
      </c>
      <c r="G21" s="112">
        <f t="shared" si="0"/>
        <v>50000</v>
      </c>
      <c r="H21" s="114">
        <f t="shared" si="1"/>
        <v>217.39130434782609</v>
      </c>
    </row>
    <row r="22" spans="1:8" ht="15.6" x14ac:dyDescent="0.3">
      <c r="A22" s="111"/>
      <c r="B22" s="115" t="s">
        <v>136</v>
      </c>
      <c r="C22" s="111" t="s">
        <v>137</v>
      </c>
      <c r="D22" s="111" t="s">
        <v>121</v>
      </c>
      <c r="E22" s="111">
        <v>2</v>
      </c>
      <c r="F22" s="111">
        <v>1000</v>
      </c>
      <c r="G22" s="112">
        <f t="shared" si="0"/>
        <v>2000</v>
      </c>
      <c r="H22" s="114">
        <f t="shared" si="1"/>
        <v>8.695652173913043</v>
      </c>
    </row>
    <row r="23" spans="1:8" ht="15.6" x14ac:dyDescent="0.3">
      <c r="A23" s="111"/>
      <c r="B23" s="113" t="s">
        <v>138</v>
      </c>
      <c r="C23" s="111"/>
      <c r="D23" s="111" t="s">
        <v>139</v>
      </c>
      <c r="E23" s="111">
        <v>2</v>
      </c>
      <c r="F23" s="111">
        <v>50000</v>
      </c>
      <c r="G23" s="112">
        <f t="shared" si="0"/>
        <v>100000</v>
      </c>
      <c r="H23" s="114">
        <f t="shared" si="1"/>
        <v>434.78260869565219</v>
      </c>
    </row>
    <row r="24" spans="1:8" ht="15.6" x14ac:dyDescent="0.3">
      <c r="A24" s="116"/>
      <c r="B24" s="117" t="s">
        <v>140</v>
      </c>
      <c r="C24" s="116"/>
      <c r="D24" s="116"/>
      <c r="E24" s="116"/>
      <c r="F24" s="116"/>
      <c r="G24" s="118">
        <f>SUM(G13:G23)</f>
        <v>5021000</v>
      </c>
      <c r="H24" s="119">
        <f t="shared" si="1"/>
        <v>21830.434782608696</v>
      </c>
    </row>
    <row r="25" spans="1:8" ht="15.6" x14ac:dyDescent="0.3">
      <c r="A25" s="111"/>
      <c r="B25" s="113"/>
      <c r="C25" s="111"/>
      <c r="D25" s="111"/>
      <c r="E25" s="111"/>
      <c r="F25" s="111"/>
      <c r="G25" s="112"/>
      <c r="H25" s="114">
        <f t="shared" si="1"/>
        <v>0</v>
      </c>
    </row>
    <row r="26" spans="1:8" ht="31.2" x14ac:dyDescent="0.3">
      <c r="A26" s="111"/>
      <c r="B26" s="120" t="s">
        <v>141</v>
      </c>
      <c r="C26" s="111"/>
      <c r="D26" s="111"/>
      <c r="E26" s="111"/>
      <c r="F26" s="111"/>
      <c r="G26" s="112"/>
      <c r="H26" s="114">
        <f t="shared" si="1"/>
        <v>0</v>
      </c>
    </row>
    <row r="27" spans="1:8" ht="15.6" x14ac:dyDescent="0.3">
      <c r="A27" s="111"/>
      <c r="B27" s="121" t="s">
        <v>142</v>
      </c>
      <c r="C27" s="111"/>
      <c r="D27" s="111" t="s">
        <v>143</v>
      </c>
      <c r="E27" s="111">
        <v>1</v>
      </c>
      <c r="F27" s="122">
        <v>10000</v>
      </c>
      <c r="G27" s="112">
        <f t="shared" si="0"/>
        <v>10000</v>
      </c>
      <c r="H27" s="114">
        <f t="shared" si="1"/>
        <v>43.478260869565219</v>
      </c>
    </row>
    <row r="28" spans="1:8" ht="15.6" x14ac:dyDescent="0.3">
      <c r="A28" s="111"/>
      <c r="B28" s="121" t="s">
        <v>144</v>
      </c>
      <c r="C28" s="111"/>
      <c r="D28" s="111" t="s">
        <v>145</v>
      </c>
      <c r="E28" s="111">
        <v>5</v>
      </c>
      <c r="F28" s="111">
        <v>5000</v>
      </c>
      <c r="G28" s="112">
        <f t="shared" si="0"/>
        <v>25000</v>
      </c>
      <c r="H28" s="114">
        <f t="shared" si="1"/>
        <v>108.69565217391305</v>
      </c>
    </row>
    <row r="29" spans="1:8" ht="15.6" x14ac:dyDescent="0.3">
      <c r="A29" s="111"/>
      <c r="B29" s="121" t="s">
        <v>146</v>
      </c>
      <c r="C29" s="111"/>
      <c r="D29" s="111" t="s">
        <v>143</v>
      </c>
      <c r="E29" s="111">
        <v>1</v>
      </c>
      <c r="F29" s="122">
        <v>10000</v>
      </c>
      <c r="G29" s="112">
        <f t="shared" si="0"/>
        <v>10000</v>
      </c>
      <c r="H29" s="114">
        <f t="shared" si="1"/>
        <v>43.478260869565219</v>
      </c>
    </row>
    <row r="30" spans="1:8" ht="15.6" x14ac:dyDescent="0.3">
      <c r="A30" s="111"/>
      <c r="B30" s="121" t="s">
        <v>147</v>
      </c>
      <c r="C30" s="111" t="s">
        <v>148</v>
      </c>
      <c r="D30" s="111" t="s">
        <v>149</v>
      </c>
      <c r="E30" s="111">
        <v>50</v>
      </c>
      <c r="F30" s="111">
        <v>4000</v>
      </c>
      <c r="G30" s="112">
        <f t="shared" si="0"/>
        <v>200000</v>
      </c>
      <c r="H30" s="114">
        <f t="shared" si="1"/>
        <v>869.56521739130437</v>
      </c>
    </row>
    <row r="31" spans="1:8" ht="15.6" x14ac:dyDescent="0.3">
      <c r="A31" s="111"/>
      <c r="B31" s="121" t="s">
        <v>150</v>
      </c>
      <c r="C31" s="111"/>
      <c r="D31" s="111" t="s">
        <v>151</v>
      </c>
      <c r="E31" s="111">
        <v>10</v>
      </c>
      <c r="F31" s="122">
        <v>40000</v>
      </c>
      <c r="G31" s="112">
        <f t="shared" si="0"/>
        <v>400000</v>
      </c>
      <c r="H31" s="114">
        <f t="shared" si="1"/>
        <v>1739.1304347826087</v>
      </c>
    </row>
    <row r="32" spans="1:8" ht="15.6" x14ac:dyDescent="0.3">
      <c r="A32" s="111"/>
      <c r="B32" s="121" t="s">
        <v>152</v>
      </c>
      <c r="C32" s="111"/>
      <c r="D32" s="111" t="s">
        <v>151</v>
      </c>
      <c r="E32" s="111">
        <v>30</v>
      </c>
      <c r="F32" s="122">
        <v>6000</v>
      </c>
      <c r="G32" s="112">
        <f t="shared" si="0"/>
        <v>180000</v>
      </c>
      <c r="H32" s="114">
        <f t="shared" si="1"/>
        <v>782.60869565217388</v>
      </c>
    </row>
    <row r="33" spans="1:8" ht="15.6" x14ac:dyDescent="0.3">
      <c r="A33" s="111"/>
      <c r="B33" s="121" t="s">
        <v>153</v>
      </c>
      <c r="C33" s="111" t="s">
        <v>154</v>
      </c>
      <c r="D33" s="111"/>
      <c r="E33" s="111">
        <v>30</v>
      </c>
      <c r="F33" s="122">
        <v>12000</v>
      </c>
      <c r="G33" s="112">
        <f t="shared" si="0"/>
        <v>360000</v>
      </c>
      <c r="H33" s="114">
        <f t="shared" si="1"/>
        <v>1565.2173913043478</v>
      </c>
    </row>
    <row r="34" spans="1:8" ht="15.6" x14ac:dyDescent="0.3">
      <c r="A34" s="111"/>
      <c r="B34" s="121" t="s">
        <v>155</v>
      </c>
      <c r="C34" s="111"/>
      <c r="D34" s="111"/>
      <c r="E34" s="122">
        <v>3000</v>
      </c>
      <c r="F34" s="111">
        <v>100</v>
      </c>
      <c r="G34" s="112">
        <f t="shared" si="0"/>
        <v>300000</v>
      </c>
      <c r="H34" s="114">
        <f t="shared" si="1"/>
        <v>1304.3478260869565</v>
      </c>
    </row>
    <row r="35" spans="1:8" ht="15.6" x14ac:dyDescent="0.3">
      <c r="A35" s="111"/>
      <c r="B35" s="121" t="s">
        <v>156</v>
      </c>
      <c r="C35" s="111" t="s">
        <v>154</v>
      </c>
      <c r="D35" s="111"/>
      <c r="E35" s="111">
        <v>40</v>
      </c>
      <c r="F35" s="122">
        <v>6000</v>
      </c>
      <c r="G35" s="112">
        <f t="shared" si="0"/>
        <v>240000</v>
      </c>
      <c r="H35" s="114">
        <f t="shared" si="1"/>
        <v>1043.4782608695652</v>
      </c>
    </row>
    <row r="36" spans="1:8" ht="15.6" x14ac:dyDescent="0.3">
      <c r="A36" s="111"/>
      <c r="B36" s="121" t="s">
        <v>157</v>
      </c>
      <c r="C36" s="111"/>
      <c r="D36" s="111" t="s">
        <v>158</v>
      </c>
      <c r="E36" s="111">
        <v>4</v>
      </c>
      <c r="F36" s="122">
        <v>11000</v>
      </c>
      <c r="G36" s="112">
        <f t="shared" si="0"/>
        <v>44000</v>
      </c>
      <c r="H36" s="114">
        <f t="shared" si="1"/>
        <v>191.30434782608697</v>
      </c>
    </row>
    <row r="37" spans="1:8" ht="15.6" x14ac:dyDescent="0.3">
      <c r="A37" s="111"/>
      <c r="B37" s="121" t="s">
        <v>159</v>
      </c>
      <c r="C37" s="111"/>
      <c r="D37" s="111" t="s">
        <v>158</v>
      </c>
      <c r="E37" s="111">
        <v>2</v>
      </c>
      <c r="F37" s="122">
        <v>15000</v>
      </c>
      <c r="G37" s="112">
        <f t="shared" si="0"/>
        <v>30000</v>
      </c>
      <c r="H37" s="114">
        <f t="shared" si="1"/>
        <v>130.43478260869566</v>
      </c>
    </row>
    <row r="38" spans="1:8" ht="15.6" x14ac:dyDescent="0.3">
      <c r="A38" s="111"/>
      <c r="B38" s="121" t="s">
        <v>160</v>
      </c>
      <c r="C38" s="111" t="s">
        <v>161</v>
      </c>
      <c r="D38" s="111"/>
      <c r="E38" s="111">
        <v>44</v>
      </c>
      <c r="F38" s="111"/>
      <c r="G38" s="112">
        <f t="shared" si="0"/>
        <v>0</v>
      </c>
      <c r="H38" s="114">
        <f t="shared" si="1"/>
        <v>0</v>
      </c>
    </row>
    <row r="39" spans="1:8" ht="15.6" x14ac:dyDescent="0.3">
      <c r="A39" s="111"/>
      <c r="B39" s="121" t="s">
        <v>162</v>
      </c>
      <c r="C39" s="111" t="s">
        <v>163</v>
      </c>
      <c r="D39" s="111"/>
      <c r="E39" s="111">
        <v>1</v>
      </c>
      <c r="F39" s="122">
        <v>20000</v>
      </c>
      <c r="G39" s="112">
        <f t="shared" si="0"/>
        <v>20000</v>
      </c>
      <c r="H39" s="114">
        <f t="shared" si="1"/>
        <v>86.956521739130437</v>
      </c>
    </row>
    <row r="40" spans="1:8" ht="15.6" x14ac:dyDescent="0.3">
      <c r="A40" s="111"/>
      <c r="B40" s="121" t="s">
        <v>164</v>
      </c>
      <c r="C40" s="111" t="s">
        <v>161</v>
      </c>
      <c r="D40" s="111" t="s">
        <v>158</v>
      </c>
      <c r="E40" s="111">
        <v>100</v>
      </c>
      <c r="F40" s="122">
        <v>11500</v>
      </c>
      <c r="G40" s="112">
        <f t="shared" si="0"/>
        <v>1150000</v>
      </c>
      <c r="H40" s="114">
        <f t="shared" si="1"/>
        <v>5000</v>
      </c>
    </row>
    <row r="41" spans="1:8" ht="15.6" x14ac:dyDescent="0.3">
      <c r="A41" s="111"/>
      <c r="B41" s="121" t="s">
        <v>165</v>
      </c>
      <c r="C41" s="111"/>
      <c r="D41" s="111"/>
      <c r="E41" s="111">
        <v>2</v>
      </c>
      <c r="F41" s="122">
        <v>25000</v>
      </c>
      <c r="G41" s="112">
        <f t="shared" si="0"/>
        <v>50000</v>
      </c>
      <c r="H41" s="114">
        <f t="shared" si="1"/>
        <v>217.39130434782609</v>
      </c>
    </row>
    <row r="42" spans="1:8" ht="15.6" x14ac:dyDescent="0.3">
      <c r="A42" s="111"/>
      <c r="B42" s="121" t="s">
        <v>166</v>
      </c>
      <c r="C42" s="111"/>
      <c r="D42" s="111" t="s">
        <v>151</v>
      </c>
      <c r="E42" s="111">
        <v>4</v>
      </c>
      <c r="F42" s="122">
        <v>10000</v>
      </c>
      <c r="G42" s="112">
        <f t="shared" si="0"/>
        <v>40000</v>
      </c>
      <c r="H42" s="114">
        <f t="shared" si="1"/>
        <v>173.91304347826087</v>
      </c>
    </row>
    <row r="43" spans="1:8" ht="15.6" x14ac:dyDescent="0.3">
      <c r="A43" s="111"/>
      <c r="B43" s="121" t="s">
        <v>167</v>
      </c>
      <c r="C43" s="111"/>
      <c r="D43" s="111" t="s">
        <v>151</v>
      </c>
      <c r="E43" s="111">
        <v>10</v>
      </c>
      <c r="F43" s="122">
        <v>40000</v>
      </c>
      <c r="G43" s="112">
        <f t="shared" si="0"/>
        <v>400000</v>
      </c>
      <c r="H43" s="114">
        <f t="shared" si="1"/>
        <v>1739.1304347826087</v>
      </c>
    </row>
    <row r="44" spans="1:8" ht="15.6" x14ac:dyDescent="0.3">
      <c r="A44" s="111"/>
      <c r="B44" s="121" t="s">
        <v>168</v>
      </c>
      <c r="C44" s="111" t="s">
        <v>169</v>
      </c>
      <c r="D44" s="111" t="s">
        <v>170</v>
      </c>
      <c r="E44" s="111">
        <v>3</v>
      </c>
      <c r="F44" s="111">
        <v>500000</v>
      </c>
      <c r="G44" s="112">
        <f t="shared" si="0"/>
        <v>1500000</v>
      </c>
      <c r="H44" s="114">
        <f t="shared" si="1"/>
        <v>6521.739130434783</v>
      </c>
    </row>
    <row r="45" spans="1:8" ht="15.6" x14ac:dyDescent="0.3">
      <c r="A45" s="111"/>
      <c r="B45" s="115" t="s">
        <v>171</v>
      </c>
      <c r="C45" s="111" t="s">
        <v>172</v>
      </c>
      <c r="D45" s="111" t="s">
        <v>173</v>
      </c>
      <c r="E45" s="111">
        <v>5</v>
      </c>
      <c r="F45" s="111">
        <v>30000</v>
      </c>
      <c r="G45" s="112">
        <f t="shared" si="0"/>
        <v>150000</v>
      </c>
      <c r="H45" s="114">
        <f t="shared" si="1"/>
        <v>652.17391304347825</v>
      </c>
    </row>
    <row r="46" spans="1:8" ht="15.6" x14ac:dyDescent="0.3">
      <c r="A46" s="111"/>
      <c r="B46" s="113" t="s">
        <v>174</v>
      </c>
      <c r="C46" s="111" t="s">
        <v>175</v>
      </c>
      <c r="D46" s="111" t="s">
        <v>173</v>
      </c>
      <c r="E46" s="111">
        <v>5</v>
      </c>
      <c r="F46" s="122">
        <v>150000</v>
      </c>
      <c r="G46" s="112">
        <f t="shared" si="0"/>
        <v>750000</v>
      </c>
      <c r="H46" s="114">
        <f t="shared" si="1"/>
        <v>3260.8695652173915</v>
      </c>
    </row>
    <row r="47" spans="1:8" ht="15.6" x14ac:dyDescent="0.3">
      <c r="A47" s="111"/>
      <c r="B47" s="113" t="s">
        <v>176</v>
      </c>
      <c r="C47" s="111" t="s">
        <v>177</v>
      </c>
      <c r="D47" s="111" t="s">
        <v>173</v>
      </c>
      <c r="E47" s="111">
        <v>5</v>
      </c>
      <c r="F47" s="122">
        <v>150000</v>
      </c>
      <c r="G47" s="112">
        <f t="shared" si="0"/>
        <v>750000</v>
      </c>
      <c r="H47" s="114">
        <f t="shared" si="1"/>
        <v>3260.8695652173915</v>
      </c>
    </row>
    <row r="48" spans="1:8" ht="15.6" x14ac:dyDescent="0.3">
      <c r="A48" s="111"/>
      <c r="B48" s="113" t="s">
        <v>178</v>
      </c>
      <c r="C48" s="111" t="s">
        <v>179</v>
      </c>
      <c r="D48" s="111" t="s">
        <v>173</v>
      </c>
      <c r="E48" s="111">
        <v>5</v>
      </c>
      <c r="F48" s="122">
        <v>150000</v>
      </c>
      <c r="G48" s="112">
        <f t="shared" si="0"/>
        <v>750000</v>
      </c>
      <c r="H48" s="114">
        <f t="shared" si="1"/>
        <v>3260.8695652173915</v>
      </c>
    </row>
    <row r="49" spans="1:8" ht="15.6" x14ac:dyDescent="0.3">
      <c r="A49" s="111"/>
      <c r="B49" s="113" t="s">
        <v>180</v>
      </c>
      <c r="C49" s="111" t="s">
        <v>181</v>
      </c>
      <c r="D49" s="111" t="s">
        <v>173</v>
      </c>
      <c r="E49" s="111">
        <v>5</v>
      </c>
      <c r="F49" s="122">
        <v>150000</v>
      </c>
      <c r="G49" s="112">
        <f t="shared" si="0"/>
        <v>750000</v>
      </c>
      <c r="H49" s="114">
        <f t="shared" si="1"/>
        <v>3260.8695652173915</v>
      </c>
    </row>
    <row r="50" spans="1:8" ht="15.6" x14ac:dyDescent="0.3">
      <c r="A50" s="111"/>
      <c r="B50" s="123" t="s">
        <v>96</v>
      </c>
      <c r="C50" s="111"/>
      <c r="D50" s="111"/>
      <c r="E50" s="111"/>
      <c r="F50" s="111"/>
      <c r="G50" s="124">
        <f>SUM(G27:G49)</f>
        <v>8109000</v>
      </c>
      <c r="H50" s="114">
        <f t="shared" si="1"/>
        <v>35256.521739130432</v>
      </c>
    </row>
    <row r="51" spans="1:8" ht="15.6" x14ac:dyDescent="0.3">
      <c r="A51" s="111"/>
      <c r="B51" s="125" t="s">
        <v>182</v>
      </c>
      <c r="C51" s="111"/>
      <c r="D51" s="111"/>
      <c r="E51" s="111"/>
      <c r="F51" s="111"/>
      <c r="G51" s="126">
        <f>G50+G24</f>
        <v>13130000</v>
      </c>
      <c r="H51" s="127">
        <f t="shared" si="1"/>
        <v>57086.956521739128</v>
      </c>
    </row>
    <row r="52" spans="1:8" ht="15.6" x14ac:dyDescent="0.3">
      <c r="A52" s="111"/>
      <c r="B52" s="123"/>
      <c r="C52" s="111"/>
      <c r="D52" s="111"/>
      <c r="E52" s="111"/>
      <c r="F52" s="111"/>
      <c r="G52" s="124"/>
      <c r="H52" s="114"/>
    </row>
    <row r="53" spans="1:8" ht="15.6" x14ac:dyDescent="0.3">
      <c r="A53" s="111"/>
      <c r="B53" s="115"/>
      <c r="C53" s="111"/>
      <c r="D53" s="111"/>
      <c r="E53" s="111"/>
      <c r="F53" s="111"/>
      <c r="G53" s="112"/>
      <c r="H53" s="114">
        <f t="shared" si="1"/>
        <v>0</v>
      </c>
    </row>
    <row r="54" spans="1:8" ht="31.2" x14ac:dyDescent="0.3">
      <c r="A54" s="111"/>
      <c r="B54" s="128" t="s">
        <v>183</v>
      </c>
      <c r="C54" s="111"/>
      <c r="D54" s="111"/>
      <c r="E54" s="111"/>
      <c r="F54" s="111"/>
      <c r="G54" s="112"/>
      <c r="H54" s="114">
        <f t="shared" si="1"/>
        <v>0</v>
      </c>
    </row>
    <row r="55" spans="1:8" ht="15.6" x14ac:dyDescent="0.3">
      <c r="A55" s="111"/>
      <c r="B55" s="115" t="s">
        <v>184</v>
      </c>
      <c r="C55" s="111" t="s">
        <v>185</v>
      </c>
      <c r="D55" s="111" t="s">
        <v>186</v>
      </c>
      <c r="E55" s="111">
        <v>180</v>
      </c>
      <c r="F55" s="122">
        <v>100000</v>
      </c>
      <c r="G55" s="112">
        <f t="shared" si="0"/>
        <v>18000000</v>
      </c>
      <c r="H55" s="114">
        <f t="shared" si="1"/>
        <v>78260.869565217392</v>
      </c>
    </row>
    <row r="56" spans="1:8" ht="15.6" x14ac:dyDescent="0.3">
      <c r="A56" s="111"/>
      <c r="B56" s="115" t="s">
        <v>187</v>
      </c>
      <c r="C56" s="111" t="s">
        <v>188</v>
      </c>
      <c r="D56" s="111" t="s">
        <v>189</v>
      </c>
      <c r="E56" s="111">
        <v>60</v>
      </c>
      <c r="F56" s="122">
        <v>60000</v>
      </c>
      <c r="G56" s="112">
        <f t="shared" si="0"/>
        <v>3600000</v>
      </c>
      <c r="H56" s="114">
        <f t="shared" si="1"/>
        <v>15652.173913043478</v>
      </c>
    </row>
    <row r="57" spans="1:8" ht="15.6" x14ac:dyDescent="0.3">
      <c r="A57" s="111"/>
      <c r="B57" s="106" t="s">
        <v>190</v>
      </c>
      <c r="C57" s="111"/>
      <c r="D57" s="111"/>
      <c r="E57" s="111"/>
      <c r="F57" s="122"/>
      <c r="G57" s="112"/>
      <c r="H57" s="114">
        <f t="shared" si="1"/>
        <v>0</v>
      </c>
    </row>
    <row r="58" spans="1:8" ht="15.6" x14ac:dyDescent="0.3">
      <c r="A58" s="111"/>
      <c r="B58" s="129"/>
      <c r="C58" s="111" t="s">
        <v>191</v>
      </c>
      <c r="D58" s="111" t="s">
        <v>192</v>
      </c>
      <c r="E58" s="111">
        <v>90</v>
      </c>
      <c r="F58" s="122">
        <v>60000</v>
      </c>
      <c r="G58" s="130">
        <f>E58*F58</f>
        <v>5400000</v>
      </c>
      <c r="H58" s="114">
        <f t="shared" si="1"/>
        <v>23478.260869565216</v>
      </c>
    </row>
    <row r="59" spans="1:8" ht="15.6" x14ac:dyDescent="0.3">
      <c r="A59" s="111"/>
      <c r="B59" s="129"/>
      <c r="C59" s="111" t="s">
        <v>193</v>
      </c>
      <c r="D59" s="111" t="s">
        <v>194</v>
      </c>
      <c r="E59" s="111">
        <v>6</v>
      </c>
      <c r="F59" s="122">
        <v>100000</v>
      </c>
      <c r="G59" s="130">
        <f t="shared" ref="G59:G61" si="2">E59*F59</f>
        <v>600000</v>
      </c>
      <c r="H59" s="114">
        <f t="shared" si="1"/>
        <v>2608.695652173913</v>
      </c>
    </row>
    <row r="60" spans="1:8" ht="15.6" x14ac:dyDescent="0.3">
      <c r="A60" s="111"/>
      <c r="B60" s="129"/>
      <c r="C60" s="111" t="s">
        <v>195</v>
      </c>
      <c r="D60" s="111" t="s">
        <v>196</v>
      </c>
      <c r="E60" s="111">
        <v>6</v>
      </c>
      <c r="F60" s="122">
        <v>150000</v>
      </c>
      <c r="G60" s="130">
        <f t="shared" si="2"/>
        <v>900000</v>
      </c>
      <c r="H60" s="114">
        <f t="shared" si="1"/>
        <v>3913.0434782608695</v>
      </c>
    </row>
    <row r="61" spans="1:8" ht="15.6" x14ac:dyDescent="0.3">
      <c r="A61" s="111"/>
      <c r="B61" s="129"/>
      <c r="C61" s="111" t="s">
        <v>197</v>
      </c>
      <c r="D61" s="111" t="s">
        <v>196</v>
      </c>
      <c r="E61" s="111">
        <v>6</v>
      </c>
      <c r="F61" s="122">
        <v>400000</v>
      </c>
      <c r="G61" s="130">
        <f t="shared" si="2"/>
        <v>2400000</v>
      </c>
      <c r="H61" s="114">
        <f t="shared" si="1"/>
        <v>10434.782608695652</v>
      </c>
    </row>
    <row r="62" spans="1:8" ht="15.6" x14ac:dyDescent="0.3">
      <c r="A62" s="111"/>
      <c r="B62" s="131" t="s">
        <v>198</v>
      </c>
      <c r="C62" s="132"/>
      <c r="D62" s="132"/>
      <c r="E62" s="132"/>
      <c r="F62" s="133"/>
      <c r="G62" s="134">
        <f>SUM(G55:G61)</f>
        <v>30900000</v>
      </c>
      <c r="H62" s="119">
        <f t="shared" si="1"/>
        <v>134347.82608695651</v>
      </c>
    </row>
    <row r="63" spans="1:8" ht="15.6" x14ac:dyDescent="0.3">
      <c r="A63" s="111"/>
      <c r="B63" s="129"/>
      <c r="C63" s="111"/>
      <c r="D63" s="111"/>
      <c r="E63" s="111"/>
      <c r="F63" s="122"/>
      <c r="G63" s="130"/>
      <c r="H63" s="114">
        <f t="shared" si="1"/>
        <v>0</v>
      </c>
    </row>
    <row r="64" spans="1:8" ht="15.6" x14ac:dyDescent="0.3">
      <c r="A64" s="111"/>
      <c r="B64" s="129"/>
      <c r="C64" s="111"/>
      <c r="D64" s="111"/>
      <c r="E64" s="111"/>
      <c r="F64" s="122"/>
      <c r="G64" s="130"/>
      <c r="H64" s="114">
        <f t="shared" si="1"/>
        <v>0</v>
      </c>
    </row>
    <row r="65" spans="1:8" ht="15.6" x14ac:dyDescent="0.3">
      <c r="A65" s="111"/>
      <c r="B65" s="135" t="s">
        <v>199</v>
      </c>
      <c r="C65" s="111"/>
      <c r="D65" s="111"/>
      <c r="E65" s="111"/>
      <c r="F65" s="122"/>
      <c r="G65" s="130"/>
      <c r="H65" s="114">
        <f t="shared" si="1"/>
        <v>0</v>
      </c>
    </row>
    <row r="66" spans="1:8" ht="15.6" x14ac:dyDescent="0.3">
      <c r="A66" s="111"/>
      <c r="B66" s="115" t="s">
        <v>200</v>
      </c>
      <c r="C66" s="111" t="s">
        <v>201</v>
      </c>
      <c r="D66" s="111" t="s">
        <v>202</v>
      </c>
      <c r="E66" s="111">
        <v>30</v>
      </c>
      <c r="F66" s="122">
        <v>10000</v>
      </c>
      <c r="G66" s="112">
        <f>F66*E66</f>
        <v>300000</v>
      </c>
      <c r="H66" s="114">
        <f t="shared" si="1"/>
        <v>1304.3478260869565</v>
      </c>
    </row>
    <row r="67" spans="1:8" ht="15.6" x14ac:dyDescent="0.3">
      <c r="A67" s="111"/>
      <c r="B67" s="115" t="s">
        <v>203</v>
      </c>
      <c r="C67" s="111" t="s">
        <v>204</v>
      </c>
      <c r="D67" s="111" t="s">
        <v>205</v>
      </c>
      <c r="E67" s="111">
        <v>240</v>
      </c>
      <c r="F67" s="122">
        <v>10000</v>
      </c>
      <c r="G67" s="112">
        <f t="shared" ref="G67:G70" si="3">F67*E67</f>
        <v>2400000</v>
      </c>
      <c r="H67" s="114">
        <f t="shared" si="1"/>
        <v>10434.782608695652</v>
      </c>
    </row>
    <row r="68" spans="1:8" ht="28.2" x14ac:dyDescent="0.3">
      <c r="A68" s="111"/>
      <c r="B68" s="115" t="s">
        <v>206</v>
      </c>
      <c r="C68" s="136" t="s">
        <v>207</v>
      </c>
      <c r="D68" s="111" t="s">
        <v>208</v>
      </c>
      <c r="E68" s="111">
        <v>240</v>
      </c>
      <c r="F68" s="122">
        <v>3000</v>
      </c>
      <c r="G68" s="112">
        <f t="shared" si="3"/>
        <v>720000</v>
      </c>
      <c r="H68" s="114">
        <f t="shared" si="1"/>
        <v>3130.4347826086955</v>
      </c>
    </row>
    <row r="69" spans="1:8" ht="28.2" x14ac:dyDescent="0.3">
      <c r="A69" s="111"/>
      <c r="B69" s="115" t="s">
        <v>209</v>
      </c>
      <c r="C69" s="136" t="s">
        <v>210</v>
      </c>
      <c r="D69" s="111" t="s">
        <v>211</v>
      </c>
      <c r="E69" s="111">
        <v>12</v>
      </c>
      <c r="F69" s="122">
        <v>40000</v>
      </c>
      <c r="G69" s="112">
        <f t="shared" si="3"/>
        <v>480000</v>
      </c>
      <c r="H69" s="114">
        <f t="shared" si="1"/>
        <v>2086.9565217391305</v>
      </c>
    </row>
    <row r="70" spans="1:8" ht="15.6" x14ac:dyDescent="0.3">
      <c r="A70" s="111"/>
      <c r="B70" s="115" t="s">
        <v>212</v>
      </c>
      <c r="C70" s="111"/>
      <c r="D70" s="111" t="s">
        <v>213</v>
      </c>
      <c r="E70" s="111">
        <v>1000</v>
      </c>
      <c r="F70" s="122">
        <v>2200</v>
      </c>
      <c r="G70" s="112">
        <f t="shared" si="3"/>
        <v>2200000</v>
      </c>
      <c r="H70" s="114">
        <f t="shared" si="1"/>
        <v>9565.217391304348</v>
      </c>
    </row>
    <row r="71" spans="1:8" ht="15.6" x14ac:dyDescent="0.3">
      <c r="A71" s="132"/>
      <c r="B71" s="137" t="s">
        <v>214</v>
      </c>
      <c r="C71" s="132"/>
      <c r="D71" s="132"/>
      <c r="E71" s="132"/>
      <c r="F71" s="133"/>
      <c r="G71" s="118">
        <f>SUM(G66:G70)</f>
        <v>6100000</v>
      </c>
      <c r="H71" s="114">
        <f t="shared" si="1"/>
        <v>26521.739130434784</v>
      </c>
    </row>
    <row r="72" spans="1:8" ht="15.6" x14ac:dyDescent="0.3">
      <c r="A72" s="111"/>
      <c r="B72" s="138" t="s">
        <v>215</v>
      </c>
      <c r="C72" s="111"/>
      <c r="D72" s="111"/>
      <c r="E72" s="111"/>
      <c r="F72" s="122"/>
      <c r="G72" s="126">
        <f>G71+G62</f>
        <v>37000000</v>
      </c>
      <c r="H72" s="127">
        <f t="shared" si="1"/>
        <v>160869.5652173913</v>
      </c>
    </row>
    <row r="73" spans="1:8" ht="15.6" x14ac:dyDescent="0.3">
      <c r="A73" s="111"/>
      <c r="B73" s="106"/>
      <c r="C73" s="111"/>
      <c r="D73" s="111"/>
      <c r="E73" s="111"/>
      <c r="F73" s="111"/>
      <c r="G73" s="112"/>
      <c r="H73" s="114">
        <f t="shared" si="1"/>
        <v>0</v>
      </c>
    </row>
    <row r="74" spans="1:8" ht="18" x14ac:dyDescent="0.35">
      <c r="A74" s="139"/>
      <c r="B74" s="140" t="s">
        <v>29</v>
      </c>
      <c r="C74" s="139"/>
      <c r="D74" s="139"/>
      <c r="E74" s="139"/>
      <c r="F74" s="139"/>
      <c r="G74" s="141">
        <f>G71+G62+G50+G24</f>
        <v>50130000</v>
      </c>
      <c r="H74" s="119">
        <f t="shared" si="1"/>
        <v>217956.52173913043</v>
      </c>
    </row>
    <row r="75" spans="1:8" ht="15.6" x14ac:dyDescent="0.3">
      <c r="A75" s="142"/>
      <c r="B75" s="142"/>
      <c r="C75" s="267" t="s">
        <v>216</v>
      </c>
      <c r="D75" s="268"/>
      <c r="E75" s="142"/>
      <c r="F75" s="142"/>
      <c r="G75" s="143"/>
      <c r="H75" s="142"/>
    </row>
    <row r="76" spans="1:8" ht="15.6" x14ac:dyDescent="0.3">
      <c r="A76" s="269" t="s">
        <v>217</v>
      </c>
      <c r="B76" s="269"/>
      <c r="G76" s="144"/>
    </row>
    <row r="77" spans="1:8" ht="15.6" x14ac:dyDescent="0.3">
      <c r="A77" s="145" t="s">
        <v>218</v>
      </c>
      <c r="B77" s="145"/>
      <c r="G77" s="144"/>
    </row>
  </sheetData>
  <mergeCells count="9">
    <mergeCell ref="A10:H10"/>
    <mergeCell ref="C75:D75"/>
    <mergeCell ref="A76:B76"/>
    <mergeCell ref="A1:H4"/>
    <mergeCell ref="A5:H5"/>
    <mergeCell ref="A6:H6"/>
    <mergeCell ref="A7:H7"/>
    <mergeCell ref="A8:H8"/>
    <mergeCell ref="A9:H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1. Annual overall budget 1</vt:lpstr>
      <vt:lpstr>2. Annual overall budget 2</vt:lpstr>
      <vt:lpstr>RTS</vt:lpstr>
      <vt:lpstr>Bio-bank</vt:lpstr>
      <vt:lpstr>Data Center</vt:lpstr>
      <vt:lpstr>HSR</vt:lpstr>
      <vt:lpstr>ICT &amp; LIBRARY</vt:lpstr>
      <vt:lpstr>Malaria and NTD</vt:lpstr>
      <vt:lpstr>Malaria in COVID -19 </vt:lpstr>
      <vt:lpstr>RCH</vt:lpstr>
      <vt:lpstr>HIV</vt:lpstr>
      <vt:lpstr>INPACT.RTI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DAVIS ELIAS</dc:creator>
  <cp:lastModifiedBy>DAVIS ELIAS</cp:lastModifiedBy>
  <dcterms:created xsi:type="dcterms:W3CDTF">2020-06-06T08:34:22Z</dcterms:created>
  <dcterms:modified xsi:type="dcterms:W3CDTF">2020-06-10T16:16:43Z</dcterms:modified>
</cp:coreProperties>
</file>